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ivile\Desktop\2019 m. REGIONO ataskaita\"/>
    </mc:Choice>
  </mc:AlternateContent>
  <bookViews>
    <workbookView xWindow="0" yWindow="0" windowWidth="28800" windowHeight="11700"/>
  </bookViews>
  <sheets>
    <sheet name="4.1. Personalas" sheetId="1" r:id="rId1"/>
    <sheet name="4.2. Išsilavinimas" sheetId="2" r:id="rId2"/>
    <sheet name="4.3. Veiklos efektyvumas" sheetId="3" r:id="rId3"/>
  </sheets>
  <calcPr calcId="162913"/>
</workbook>
</file>

<file path=xl/calcChain.xml><?xml version="1.0" encoding="utf-8"?>
<calcChain xmlns="http://schemas.openxmlformats.org/spreadsheetml/2006/main">
  <c r="U23" i="2" l="1"/>
  <c r="T23" i="2"/>
  <c r="Q23" i="2"/>
  <c r="M23" i="2"/>
  <c r="J23" i="2"/>
  <c r="I23" i="2"/>
  <c r="H23" i="2"/>
  <c r="F23" i="2"/>
  <c r="E23" i="2"/>
  <c r="P23" i="1" l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P16" i="1"/>
  <c r="O16" i="1"/>
  <c r="N16" i="1"/>
  <c r="M16" i="1"/>
  <c r="L16" i="1"/>
  <c r="K16" i="1"/>
  <c r="G16" i="1"/>
  <c r="F16" i="1"/>
  <c r="J16" i="1"/>
  <c r="I16" i="1"/>
  <c r="H16" i="1"/>
  <c r="E16" i="1"/>
  <c r="D16" i="1"/>
  <c r="C16" i="1"/>
  <c r="I21" i="3" l="1"/>
  <c r="I18" i="3"/>
  <c r="I13" i="3"/>
  <c r="I11" i="3"/>
  <c r="I10" i="3"/>
  <c r="I9" i="3"/>
  <c r="I8" i="3"/>
  <c r="J21" i="3"/>
  <c r="J20" i="3"/>
  <c r="J19" i="3"/>
  <c r="J18" i="3"/>
  <c r="J14" i="3"/>
  <c r="J13" i="3"/>
  <c r="J10" i="3"/>
  <c r="J9" i="3"/>
  <c r="H21" i="3"/>
  <c r="H20" i="3"/>
  <c r="H19" i="3"/>
  <c r="H18" i="3"/>
  <c r="H13" i="3"/>
  <c r="H12" i="3"/>
  <c r="H11" i="3"/>
  <c r="H10" i="3"/>
  <c r="H9" i="3"/>
  <c r="H8" i="3"/>
  <c r="G21" i="3"/>
  <c r="G20" i="3"/>
  <c r="G19" i="3"/>
  <c r="G18" i="3"/>
  <c r="G14" i="3"/>
  <c r="G13" i="3"/>
  <c r="G12" i="3"/>
  <c r="G11" i="3"/>
  <c r="G10" i="3"/>
  <c r="G8" i="3"/>
  <c r="G9" i="3"/>
  <c r="F21" i="3" l="1"/>
  <c r="F20" i="3"/>
  <c r="F19" i="3"/>
  <c r="F18" i="3"/>
  <c r="F14" i="3"/>
  <c r="F13" i="3"/>
  <c r="F10" i="3"/>
  <c r="F9" i="3"/>
  <c r="E21" i="3"/>
  <c r="E18" i="3"/>
  <c r="E13" i="3"/>
  <c r="E11" i="3"/>
  <c r="E10" i="3"/>
  <c r="E9" i="3"/>
  <c r="E8" i="3"/>
  <c r="D21" i="3"/>
  <c r="D20" i="3"/>
  <c r="D19" i="3"/>
  <c r="D18" i="3"/>
  <c r="D14" i="3"/>
  <c r="D13" i="3"/>
  <c r="D12" i="3"/>
  <c r="D11" i="3"/>
  <c r="D10" i="3"/>
  <c r="D9" i="3"/>
  <c r="D8" i="3"/>
  <c r="C20" i="3"/>
  <c r="C21" i="3"/>
  <c r="C19" i="3"/>
  <c r="C18" i="3"/>
  <c r="C14" i="3"/>
  <c r="C13" i="3"/>
  <c r="C12" i="3"/>
  <c r="C11" i="3"/>
  <c r="C10" i="3"/>
  <c r="C9" i="3"/>
  <c r="C8" i="3"/>
  <c r="K8" i="1" l="1"/>
  <c r="F8" i="1"/>
  <c r="N21" i="3" l="1"/>
  <c r="N20" i="3"/>
  <c r="N19" i="3"/>
  <c r="N18" i="3"/>
  <c r="N14" i="3"/>
  <c r="N13" i="3"/>
  <c r="N10" i="3"/>
  <c r="N9" i="3"/>
  <c r="M21" i="3"/>
  <c r="M18" i="3"/>
  <c r="M13" i="3"/>
  <c r="M11" i="3"/>
  <c r="M10" i="3"/>
  <c r="M9" i="3"/>
  <c r="M8" i="3"/>
  <c r="L21" i="3"/>
  <c r="L20" i="3"/>
  <c r="L19" i="3"/>
  <c r="L18" i="3"/>
  <c r="L14" i="3"/>
  <c r="L13" i="3"/>
  <c r="L12" i="3"/>
  <c r="L11" i="3"/>
  <c r="L10" i="3"/>
  <c r="L9" i="3"/>
  <c r="L8" i="3"/>
  <c r="N15" i="3" l="1"/>
  <c r="N22" i="3"/>
  <c r="N23" i="3" s="1"/>
  <c r="M22" i="3"/>
  <c r="M23" i="3" s="1"/>
  <c r="M15" i="3"/>
  <c r="L15" i="3"/>
  <c r="L16" i="3" s="1"/>
  <c r="L22" i="3"/>
  <c r="L23" i="3" s="1"/>
  <c r="N16" i="3"/>
  <c r="N24" i="3"/>
  <c r="N25" i="3" s="1"/>
  <c r="M24" i="3" l="1"/>
  <c r="M25" i="3" s="1"/>
  <c r="M16" i="3"/>
  <c r="L24" i="3"/>
  <c r="L25" i="3" s="1"/>
  <c r="K21" i="3"/>
  <c r="K20" i="3"/>
  <c r="K19" i="3"/>
  <c r="K18" i="3"/>
  <c r="K14" i="3"/>
  <c r="K13" i="3"/>
  <c r="K12" i="3"/>
  <c r="K11" i="3"/>
  <c r="K9" i="3"/>
  <c r="K10" i="3"/>
  <c r="K8" i="3"/>
  <c r="K22" i="3" l="1"/>
  <c r="K23" i="3" s="1"/>
  <c r="K15" i="3"/>
  <c r="K24" i="3" s="1"/>
  <c r="K25" i="3" s="1"/>
  <c r="J22" i="3"/>
  <c r="J23" i="3" s="1"/>
  <c r="J15" i="3"/>
  <c r="J16" i="3" s="1"/>
  <c r="I15" i="3"/>
  <c r="I16" i="3" s="1"/>
  <c r="I22" i="3"/>
  <c r="I23" i="3" s="1"/>
  <c r="H15" i="3"/>
  <c r="H16" i="3" s="1"/>
  <c r="H22" i="3"/>
  <c r="H23" i="3" s="1"/>
  <c r="G15" i="3"/>
  <c r="G22" i="3"/>
  <c r="G23" i="3" s="1"/>
  <c r="F22" i="3"/>
  <c r="F23" i="3" s="1"/>
  <c r="F15" i="3"/>
  <c r="F16" i="3" s="1"/>
  <c r="E15" i="3"/>
  <c r="E16" i="3" s="1"/>
  <c r="E22" i="3"/>
  <c r="E23" i="3" s="1"/>
  <c r="D22" i="3"/>
  <c r="D23" i="3" s="1"/>
  <c r="D15" i="3"/>
  <c r="D16" i="3" s="1"/>
  <c r="C22" i="3"/>
  <c r="C23" i="3" s="1"/>
  <c r="C15" i="3"/>
  <c r="C16" i="3" s="1"/>
  <c r="K16" i="3" l="1"/>
  <c r="I24" i="3"/>
  <c r="I25" i="3" s="1"/>
  <c r="H24" i="3"/>
  <c r="H25" i="3" s="1"/>
  <c r="J24" i="3"/>
  <c r="J25" i="3" s="1"/>
  <c r="D24" i="3"/>
  <c r="D25" i="3" s="1"/>
  <c r="E24" i="3"/>
  <c r="E25" i="3" s="1"/>
  <c r="F24" i="3"/>
  <c r="F25" i="3" s="1"/>
  <c r="G24" i="3"/>
  <c r="G25" i="3" s="1"/>
  <c r="G16" i="3"/>
  <c r="C24" i="3"/>
  <c r="C25" i="3" s="1"/>
  <c r="L23" i="2"/>
  <c r="H22" i="2"/>
  <c r="T21" i="2"/>
  <c r="P21" i="2"/>
  <c r="P22" i="2" s="1"/>
  <c r="P23" i="2" s="1"/>
  <c r="L21" i="2"/>
  <c r="H21" i="2"/>
  <c r="D21" i="2"/>
  <c r="T15" i="2"/>
  <c r="T22" i="2" s="1"/>
  <c r="P15" i="2"/>
  <c r="L15" i="2"/>
  <c r="L22" i="2" s="1"/>
  <c r="H15" i="2"/>
  <c r="D15" i="2"/>
  <c r="D22" i="2" s="1"/>
  <c r="D23" i="2" s="1"/>
  <c r="N25" i="1"/>
  <c r="N24" i="1"/>
  <c r="N22" i="1"/>
  <c r="N15" i="1"/>
  <c r="J25" i="1"/>
  <c r="J24" i="1"/>
  <c r="J15" i="1"/>
  <c r="J22" i="1"/>
  <c r="H22" i="1"/>
  <c r="D24" i="1"/>
  <c r="E25" i="1"/>
  <c r="E24" i="1"/>
  <c r="E22" i="1"/>
  <c r="E15" i="1"/>
  <c r="V21" i="2"/>
  <c r="U21" i="2"/>
  <c r="R21" i="2"/>
  <c r="Q21" i="2"/>
  <c r="N21" i="2"/>
  <c r="N22" i="2" s="1"/>
  <c r="N23" i="2" s="1"/>
  <c r="M21" i="2"/>
  <c r="J21" i="2"/>
  <c r="I21" i="2"/>
  <c r="F21" i="2"/>
  <c r="F22" i="2" s="1"/>
  <c r="E21" i="2"/>
  <c r="V15" i="2"/>
  <c r="V22" i="2" s="1"/>
  <c r="V23" i="2" s="1"/>
  <c r="U15" i="2"/>
  <c r="U22" i="2" s="1"/>
  <c r="R15" i="2"/>
  <c r="R22" i="2" s="1"/>
  <c r="R23" i="2" s="1"/>
  <c r="Q15" i="2"/>
  <c r="N15" i="2"/>
  <c r="M15" i="2"/>
  <c r="M22" i="2" s="1"/>
  <c r="J15" i="2"/>
  <c r="J22" i="2" s="1"/>
  <c r="I15" i="2"/>
  <c r="F15" i="2"/>
  <c r="E15" i="2"/>
  <c r="E22" i="2" s="1"/>
  <c r="P25" i="1"/>
  <c r="P24" i="1"/>
  <c r="P22" i="1"/>
  <c r="P15" i="1"/>
  <c r="O25" i="1"/>
  <c r="O24" i="1"/>
  <c r="O22" i="1"/>
  <c r="O15" i="1"/>
  <c r="L22" i="1"/>
  <c r="L24" i="1" s="1"/>
  <c r="L25" i="1" s="1"/>
  <c r="L15" i="1"/>
  <c r="K22" i="1"/>
  <c r="K15" i="1"/>
  <c r="K24" i="1" s="1"/>
  <c r="K25" i="1" s="1"/>
  <c r="G25" i="1"/>
  <c r="G24" i="1"/>
  <c r="G22" i="1"/>
  <c r="G15" i="1"/>
  <c r="F22" i="1"/>
  <c r="F15" i="1"/>
  <c r="F24" i="1" s="1"/>
  <c r="F25" i="1" s="1"/>
  <c r="I22" i="2" l="1"/>
  <c r="Q22" i="2"/>
  <c r="S22" i="2"/>
  <c r="S23" i="2" s="1"/>
  <c r="C22" i="2"/>
  <c r="C23" i="2" s="1"/>
  <c r="S21" i="2"/>
  <c r="O21" i="2"/>
  <c r="K21" i="2"/>
  <c r="G21" i="2"/>
  <c r="C21" i="2"/>
  <c r="S15" i="2"/>
  <c r="O15" i="2"/>
  <c r="O22" i="2" s="1"/>
  <c r="O23" i="2" s="1"/>
  <c r="K15" i="2"/>
  <c r="K22" i="2" s="1"/>
  <c r="K23" i="2" s="1"/>
  <c r="G15" i="2"/>
  <c r="G22" i="2" s="1"/>
  <c r="G23" i="2" s="1"/>
  <c r="C15" i="2"/>
  <c r="I25" i="1"/>
  <c r="H25" i="1"/>
  <c r="M24" i="1"/>
  <c r="M25" i="1" s="1"/>
  <c r="I24" i="1"/>
  <c r="H24" i="1"/>
  <c r="M22" i="1"/>
  <c r="I22" i="1"/>
  <c r="M15" i="1"/>
  <c r="I15" i="1"/>
  <c r="H15" i="1"/>
  <c r="D25" i="1"/>
  <c r="C25" i="1"/>
  <c r="C24" i="1"/>
  <c r="D22" i="1"/>
  <c r="D15" i="1"/>
  <c r="C15" i="1"/>
  <c r="C22" i="1"/>
</calcChain>
</file>

<file path=xl/sharedStrings.xml><?xml version="1.0" encoding="utf-8"?>
<sst xmlns="http://schemas.openxmlformats.org/spreadsheetml/2006/main" count="235" uniqueCount="47">
  <si>
    <t>4.1. KLAIPĖDOS IR TAURAGĖS APSKRIČIŲ SAVIVALDYBIŲ VIEŠŲJŲ BIBLIOTEKŲ PERSONALAS 2019 M.</t>
  </si>
  <si>
    <t>4.2. KLAIPĖDOS IR TAURAGĖS APSKRIČIŲ SAVIVALDYBIŲ BIBLIOTEKININKŲ IŠSILAVINIMAS IR KVALIFIKACIJA 2019 M.</t>
  </si>
  <si>
    <t>4.3. KLAIPĖDOS IR TAURAGĖS APSKRIČIŲ SAVIVALDYBIŲ VIEŠŲJŲ BIBLIOTEKŲ DARBUOTOJŲ VEIKLOS EFEKTYVUMAS 2019 M.</t>
  </si>
  <si>
    <t>Eil. Nr.</t>
  </si>
  <si>
    <t>Savivaldybių viešosios bibliotekos</t>
  </si>
  <si>
    <t>VB</t>
  </si>
  <si>
    <t>Miesto fil.</t>
  </si>
  <si>
    <t>Kaimo fil.</t>
  </si>
  <si>
    <t>I. Klaipėdos apskritis</t>
  </si>
  <si>
    <t>1.</t>
  </si>
  <si>
    <t>Klaipėdos m.</t>
  </si>
  <si>
    <t>2.</t>
  </si>
  <si>
    <t>Klaipėdos r.</t>
  </si>
  <si>
    <t>3.</t>
  </si>
  <si>
    <t>Kretingos r.</t>
  </si>
  <si>
    <t>4.</t>
  </si>
  <si>
    <t>Neringos m.</t>
  </si>
  <si>
    <t>5.</t>
  </si>
  <si>
    <t>Palangos m.</t>
  </si>
  <si>
    <t>6.</t>
  </si>
  <si>
    <t>Skuodo r.</t>
  </si>
  <si>
    <t>7.</t>
  </si>
  <si>
    <t>Šilutės r.</t>
  </si>
  <si>
    <t>Iš viso:</t>
  </si>
  <si>
    <t>II. Tauragės apskritis</t>
  </si>
  <si>
    <t>Jurbarko r.</t>
  </si>
  <si>
    <t>Pagėgių sav.</t>
  </si>
  <si>
    <t>Šilalės r.</t>
  </si>
  <si>
    <t>Tauragės r.</t>
  </si>
  <si>
    <t>Iš viso Klaipėdos ir Tauragės apskrityse:</t>
  </si>
  <si>
    <t>Vidutiniškai vienoje bibliotekoje Klaipėdos ir Tauragės apskrityse:</t>
  </si>
  <si>
    <t>Etatų skaičius SVB</t>
  </si>
  <si>
    <t>Iš viso SVB</t>
  </si>
  <si>
    <t>Darbuotojų skaičius</t>
  </si>
  <si>
    <t>Iš jų: profesionalių bibliotekininkų</t>
  </si>
  <si>
    <t>Iš viso</t>
  </si>
  <si>
    <t xml:space="preserve">Profesionalių bibliotekininkų, </t>
  </si>
  <si>
    <t>dirbančių ne visą darbo dieną skaičius</t>
  </si>
  <si>
    <t>Aukštasis</t>
  </si>
  <si>
    <t>Iš jų: bibliotekinis</t>
  </si>
  <si>
    <t>Aukštesnysis</t>
  </si>
  <si>
    <t>Kitas</t>
  </si>
  <si>
    <t>Vartotojų skaičius vienam bibliotekininkui</t>
  </si>
  <si>
    <t>Lankytojų skaičius vienam bibliotekininkui</t>
  </si>
  <si>
    <t>Dokumentų išduotis vienam bibliotekininkui (fiz. vnt.)</t>
  </si>
  <si>
    <t>x</t>
  </si>
  <si>
    <t>Vidutiniškai vienoje bibliotekoje: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</si>
</sst>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rgb="FF000000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2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2"/>
      <color rgb="FF000000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b/>
      <sz val="12"/>
      <color rgb="FF000000"/>
      <name val="Calibri"/>
      <family val="2"/>
      <charset val="186"/>
      <scheme val="minor"/>
    </font>
    <font>
      <b/>
      <sz val="12"/>
      <color rgb="FF000000"/>
      <name val="Calibri"/>
      <family val="2"/>
      <charset val="186"/>
    </font>
    <font>
      <sz val="12"/>
      <color rgb="FF000000"/>
      <name val="Calibri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rgb="FFD6E3B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74">
    <xf numFmtId="0" fontId="0" fillId="0" borderId="0" xfId="0"/>
    <xf numFmtId="0" fontId="3" fillId="3" borderId="1" xfId="2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left" vertical="center" wrapText="1"/>
    </xf>
    <xf numFmtId="1" fontId="6" fillId="5" borderId="1" xfId="0" applyNumberFormat="1" applyFont="1" applyFill="1" applyBorder="1" applyAlignment="1">
      <alignment horizontal="center" vertical="center"/>
    </xf>
    <xf numFmtId="1" fontId="6" fillId="6" borderId="1" xfId="0" applyNumberFormat="1" applyFont="1" applyFill="1" applyBorder="1" applyAlignment="1">
      <alignment horizontal="center" vertical="center"/>
    </xf>
    <xf numFmtId="1" fontId="5" fillId="6" borderId="1" xfId="0" applyNumberFormat="1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 wrapText="1"/>
    </xf>
    <xf numFmtId="0" fontId="10" fillId="0" borderId="0" xfId="0" applyFont="1"/>
    <xf numFmtId="0" fontId="10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5" fillId="5" borderId="2" xfId="1" applyFont="1" applyFill="1" applyBorder="1" applyAlignment="1">
      <alignment horizontal="left" vertical="center" wrapText="1"/>
    </xf>
    <xf numFmtId="2" fontId="6" fillId="5" borderId="1" xfId="0" applyNumberFormat="1" applyFont="1" applyFill="1" applyBorder="1" applyAlignment="1">
      <alignment horizontal="center" vertical="center"/>
    </xf>
    <xf numFmtId="2" fontId="6" fillId="6" borderId="1" xfId="0" applyNumberFormat="1" applyFont="1" applyFill="1" applyBorder="1" applyAlignment="1">
      <alignment horizontal="center" vertical="center"/>
    </xf>
    <xf numFmtId="164" fontId="9" fillId="7" borderId="1" xfId="0" applyNumberFormat="1" applyFont="1" applyFill="1" applyBorder="1" applyAlignment="1">
      <alignment horizontal="center" vertical="center"/>
    </xf>
    <xf numFmtId="2" fontId="5" fillId="5" borderId="1" xfId="1" applyNumberFormat="1" applyFont="1" applyFill="1" applyBorder="1" applyAlignment="1">
      <alignment horizontal="center" vertical="center" wrapText="1"/>
    </xf>
    <xf numFmtId="2" fontId="5" fillId="5" borderId="1" xfId="1" applyNumberFormat="1" applyFont="1" applyFill="1" applyBorder="1" applyAlignment="1">
      <alignment horizontal="left" vertical="center" wrapText="1"/>
    </xf>
    <xf numFmtId="1" fontId="10" fillId="0" borderId="1" xfId="0" applyNumberFormat="1" applyFont="1" applyBorder="1" applyAlignment="1">
      <alignment horizontal="center" vertical="center"/>
    </xf>
    <xf numFmtId="1" fontId="10" fillId="6" borderId="1" xfId="0" applyNumberFormat="1" applyFont="1" applyFill="1" applyBorder="1" applyAlignment="1">
      <alignment horizontal="center" vertical="center"/>
    </xf>
    <xf numFmtId="1" fontId="4" fillId="7" borderId="1" xfId="0" applyNumberFormat="1" applyFont="1" applyFill="1" applyBorder="1" applyAlignment="1">
      <alignment horizontal="center" vertical="center"/>
    </xf>
    <xf numFmtId="1" fontId="8" fillId="7" borderId="1" xfId="0" applyNumberFormat="1" applyFont="1" applyFill="1" applyBorder="1" applyAlignment="1">
      <alignment horizontal="center" vertical="center"/>
    </xf>
    <xf numFmtId="1" fontId="9" fillId="7" borderId="1" xfId="0" applyNumberFormat="1" applyFont="1" applyFill="1" applyBorder="1" applyAlignment="1">
      <alignment horizontal="center" vertical="center"/>
    </xf>
    <xf numFmtId="164" fontId="4" fillId="7" borderId="1" xfId="0" applyNumberFormat="1" applyFont="1" applyFill="1" applyBorder="1" applyAlignment="1">
      <alignment horizontal="center" vertical="center"/>
    </xf>
    <xf numFmtId="164" fontId="8" fillId="7" borderId="1" xfId="0" applyNumberFormat="1" applyFont="1" applyFill="1" applyBorder="1" applyAlignment="1">
      <alignment horizontal="center" vertical="center"/>
    </xf>
    <xf numFmtId="1" fontId="10" fillId="5" borderId="1" xfId="0" applyNumberFormat="1" applyFont="1" applyFill="1" applyBorder="1" applyAlignment="1">
      <alignment horizontal="center" vertical="center"/>
    </xf>
    <xf numFmtId="1" fontId="10" fillId="0" borderId="0" xfId="0" applyNumberFormat="1" applyFont="1" applyBorder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2" fontId="8" fillId="7" borderId="1" xfId="0" applyNumberFormat="1" applyFont="1" applyFill="1" applyBorder="1" applyAlignment="1">
      <alignment horizontal="center" vertical="center"/>
    </xf>
    <xf numFmtId="2" fontId="4" fillId="7" borderId="1" xfId="0" applyNumberFormat="1" applyFont="1" applyFill="1" applyBorder="1" applyAlignment="1">
      <alignment horizontal="center" vertical="center"/>
    </xf>
    <xf numFmtId="164" fontId="10" fillId="6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3" fillId="3" borderId="2" xfId="2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3" fillId="3" borderId="7" xfId="2" applyFont="1" applyFill="1" applyBorder="1" applyAlignment="1">
      <alignment horizontal="center" vertical="center" wrapText="1"/>
    </xf>
    <xf numFmtId="0" fontId="3" fillId="3" borderId="9" xfId="2" applyFont="1" applyFill="1" applyBorder="1" applyAlignment="1">
      <alignment horizontal="center" vertical="center" wrapText="1"/>
    </xf>
    <xf numFmtId="0" fontId="3" fillId="3" borderId="8" xfId="2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right" vertical="center"/>
    </xf>
    <xf numFmtId="2" fontId="7" fillId="7" borderId="1" xfId="1" applyNumberFormat="1" applyFont="1" applyFill="1" applyBorder="1" applyAlignment="1">
      <alignment horizontal="right" vertical="center" wrapText="1"/>
    </xf>
    <xf numFmtId="2" fontId="4" fillId="4" borderId="2" xfId="0" applyNumberFormat="1" applyFont="1" applyFill="1" applyBorder="1" applyAlignment="1">
      <alignment horizontal="left" vertical="center"/>
    </xf>
    <xf numFmtId="2" fontId="4" fillId="4" borderId="3" xfId="0" applyNumberFormat="1" applyFont="1" applyFill="1" applyBorder="1" applyAlignment="1">
      <alignment horizontal="left" vertical="center"/>
    </xf>
    <xf numFmtId="2" fontId="4" fillId="4" borderId="4" xfId="0" applyNumberFormat="1" applyFont="1" applyFill="1" applyBorder="1" applyAlignment="1">
      <alignment horizontal="left" vertical="center"/>
    </xf>
    <xf numFmtId="0" fontId="5" fillId="6" borderId="2" xfId="1" applyFont="1" applyFill="1" applyBorder="1" applyAlignment="1">
      <alignment horizontal="right" vertical="center"/>
    </xf>
    <xf numFmtId="0" fontId="5" fillId="6" borderId="4" xfId="1" applyFont="1" applyFill="1" applyBorder="1" applyAlignment="1">
      <alignment horizontal="right" vertical="center"/>
    </xf>
    <xf numFmtId="0" fontId="7" fillId="7" borderId="1" xfId="1" applyFont="1" applyFill="1" applyBorder="1" applyAlignment="1">
      <alignment horizontal="right" vertical="center" wrapText="1"/>
    </xf>
    <xf numFmtId="0" fontId="7" fillId="7" borderId="2" xfId="1" applyFont="1" applyFill="1" applyBorder="1" applyAlignment="1">
      <alignment horizontal="right" vertical="center" wrapText="1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right" vertical="center"/>
    </xf>
    <xf numFmtId="0" fontId="3" fillId="3" borderId="5" xfId="2" applyFont="1" applyFill="1" applyBorder="1" applyAlignment="1">
      <alignment horizontal="center" vertical="center" wrapText="1"/>
    </xf>
    <xf numFmtId="0" fontId="3" fillId="3" borderId="14" xfId="2" applyFont="1" applyFill="1" applyBorder="1" applyAlignment="1">
      <alignment horizontal="center" vertical="center" wrapText="1"/>
    </xf>
    <xf numFmtId="0" fontId="3" fillId="3" borderId="6" xfId="2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" fillId="3" borderId="10" xfId="2" applyFont="1" applyFill="1" applyBorder="1" applyAlignment="1">
      <alignment horizontal="center" vertical="center" wrapText="1"/>
    </xf>
    <xf numFmtId="0" fontId="3" fillId="3" borderId="11" xfId="2" applyFont="1" applyFill="1" applyBorder="1" applyAlignment="1">
      <alignment horizontal="center" vertical="center" wrapText="1"/>
    </xf>
    <xf numFmtId="0" fontId="3" fillId="3" borderId="12" xfId="2" applyFont="1" applyFill="1" applyBorder="1" applyAlignment="1">
      <alignment horizontal="center" vertical="center" wrapText="1"/>
    </xf>
    <xf numFmtId="0" fontId="3" fillId="3" borderId="13" xfId="2" applyFont="1" applyFill="1" applyBorder="1" applyAlignment="1">
      <alignment horizontal="center" vertical="center" wrapText="1"/>
    </xf>
  </cellXfs>
  <cellStyles count="3">
    <cellStyle name="20% – paryškinimas 4" xfId="1" builtinId="42"/>
    <cellStyle name="Įprastas" xfId="0" builtinId="0" customBuiltin="1"/>
    <cellStyle name="Įprastas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25961</xdr:colOff>
      <xdr:row>26</xdr:row>
      <xdr:rowOff>9525</xdr:rowOff>
    </xdr:from>
    <xdr:to>
      <xdr:col>7</xdr:col>
      <xdr:colOff>315462</xdr:colOff>
      <xdr:row>42</xdr:row>
      <xdr:rowOff>48323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961" y="5848350"/>
          <a:ext cx="5032951" cy="3086798"/>
        </a:xfrm>
        <a:prstGeom prst="rect">
          <a:avLst/>
        </a:prstGeom>
      </xdr:spPr>
    </xdr:pic>
    <xdr:clientData/>
  </xdr:twoCellAnchor>
  <xdr:twoCellAnchor editAs="oneCell">
    <xdr:from>
      <xdr:col>7</xdr:col>
      <xdr:colOff>419099</xdr:colOff>
      <xdr:row>26</xdr:row>
      <xdr:rowOff>11907</xdr:rowOff>
    </xdr:from>
    <xdr:to>
      <xdr:col>16</xdr:col>
      <xdr:colOff>828674</xdr:colOff>
      <xdr:row>42</xdr:row>
      <xdr:rowOff>47626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62549" y="5850732"/>
          <a:ext cx="5286375" cy="30837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21771</xdr:colOff>
      <xdr:row>23</xdr:row>
      <xdr:rowOff>171450</xdr:rowOff>
    </xdr:from>
    <xdr:to>
      <xdr:col>8</xdr:col>
      <xdr:colOff>142875</xdr:colOff>
      <xdr:row>40</xdr:row>
      <xdr:rowOff>100683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771" y="5476875"/>
          <a:ext cx="5140779" cy="316773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31295</xdr:colOff>
      <xdr:row>26</xdr:row>
      <xdr:rowOff>19050</xdr:rowOff>
    </xdr:from>
    <xdr:to>
      <xdr:col>8</xdr:col>
      <xdr:colOff>208187</xdr:colOff>
      <xdr:row>43</xdr:row>
      <xdr:rowOff>28575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295" y="5734050"/>
          <a:ext cx="5568042" cy="3248025"/>
        </a:xfrm>
        <a:prstGeom prst="rect">
          <a:avLst/>
        </a:prstGeom>
      </xdr:spPr>
    </xdr:pic>
    <xdr:clientData/>
  </xdr:twoCellAnchor>
  <xdr:twoCellAnchor editAs="oneCell">
    <xdr:from>
      <xdr:col>8</xdr:col>
      <xdr:colOff>295274</xdr:colOff>
      <xdr:row>26</xdr:row>
      <xdr:rowOff>19050</xdr:rowOff>
    </xdr:from>
    <xdr:to>
      <xdr:col>18</xdr:col>
      <xdr:colOff>190500</xdr:colOff>
      <xdr:row>43</xdr:row>
      <xdr:rowOff>25401</xdr:rowOff>
    </xdr:to>
    <xdr:pic>
      <xdr:nvPicPr>
        <xdr:cNvPr id="4" name="Paveikslėlis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86424" y="5734050"/>
          <a:ext cx="5562601" cy="32448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5"/>
  <sheetViews>
    <sheetView tabSelected="1" workbookViewId="0">
      <selection activeCell="O24" sqref="O24"/>
    </sheetView>
  </sheetViews>
  <sheetFormatPr defaultRowHeight="15" x14ac:dyDescent="0.25"/>
  <cols>
    <col min="1" max="1" width="5.7109375" customWidth="1"/>
    <col min="2" max="2" width="27.28515625" customWidth="1"/>
    <col min="3" max="3" width="9.140625" customWidth="1"/>
    <col min="4" max="4" width="7.85546875" customWidth="1"/>
    <col min="5" max="5" width="6.85546875" customWidth="1"/>
    <col min="6" max="7" width="7.140625" customWidth="1"/>
    <col min="8" max="8" width="8.28515625" customWidth="1"/>
    <col min="9" max="9" width="7.7109375" customWidth="1"/>
    <col min="10" max="10" width="7.42578125" customWidth="1"/>
    <col min="11" max="11" width="7.7109375" customWidth="1"/>
    <col min="12" max="12" width="6.5703125" customWidth="1"/>
    <col min="13" max="13" width="9" customWidth="1"/>
    <col min="14" max="14" width="8.140625" customWidth="1"/>
    <col min="15" max="15" width="9" customWidth="1"/>
    <col min="16" max="16" width="9.28515625" customWidth="1"/>
    <col min="17" max="17" width="13.42578125" customWidth="1"/>
  </cols>
  <sheetData>
    <row r="2" spans="1:16" ht="15.75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ht="15.75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ht="20.25" customHeight="1" x14ac:dyDescent="0.25">
      <c r="A4" s="45" t="s">
        <v>3</v>
      </c>
      <c r="B4" s="45" t="s">
        <v>4</v>
      </c>
      <c r="C4" s="45" t="s">
        <v>31</v>
      </c>
      <c r="D4" s="33" t="s">
        <v>33</v>
      </c>
      <c r="E4" s="34"/>
      <c r="F4" s="34"/>
      <c r="G4" s="35"/>
      <c r="H4" s="33" t="s">
        <v>34</v>
      </c>
      <c r="I4" s="34"/>
      <c r="J4" s="34"/>
      <c r="K4" s="34"/>
      <c r="L4" s="35"/>
      <c r="M4" s="36" t="s">
        <v>36</v>
      </c>
      <c r="N4" s="37"/>
      <c r="O4" s="37"/>
      <c r="P4" s="38"/>
    </row>
    <row r="5" spans="1:16" ht="17.25" customHeight="1" x14ac:dyDescent="0.25">
      <c r="A5" s="47"/>
      <c r="B5" s="47"/>
      <c r="C5" s="47"/>
      <c r="D5" s="45" t="s">
        <v>32</v>
      </c>
      <c r="E5" s="45" t="s">
        <v>5</v>
      </c>
      <c r="F5" s="45" t="s">
        <v>6</v>
      </c>
      <c r="G5" s="45" t="s">
        <v>7</v>
      </c>
      <c r="H5" s="45" t="s">
        <v>31</v>
      </c>
      <c r="I5" s="33" t="s">
        <v>33</v>
      </c>
      <c r="J5" s="34"/>
      <c r="K5" s="34"/>
      <c r="L5" s="35"/>
      <c r="M5" s="39" t="s">
        <v>37</v>
      </c>
      <c r="N5" s="40"/>
      <c r="O5" s="40"/>
      <c r="P5" s="41"/>
    </row>
    <row r="6" spans="1:16" ht="33" customHeight="1" x14ac:dyDescent="0.25">
      <c r="A6" s="46"/>
      <c r="B6" s="46"/>
      <c r="C6" s="46"/>
      <c r="D6" s="46"/>
      <c r="E6" s="46"/>
      <c r="F6" s="46"/>
      <c r="G6" s="46"/>
      <c r="H6" s="46"/>
      <c r="I6" s="1" t="s">
        <v>35</v>
      </c>
      <c r="J6" s="1" t="s">
        <v>5</v>
      </c>
      <c r="K6" s="1" t="s">
        <v>6</v>
      </c>
      <c r="L6" s="9" t="s">
        <v>7</v>
      </c>
      <c r="M6" s="1" t="s">
        <v>35</v>
      </c>
      <c r="N6" s="1" t="s">
        <v>5</v>
      </c>
      <c r="O6" s="1" t="s">
        <v>6</v>
      </c>
      <c r="P6" s="9" t="s">
        <v>7</v>
      </c>
    </row>
    <row r="7" spans="1:16" ht="15.95" customHeight="1" x14ac:dyDescent="0.25">
      <c r="A7" s="42" t="s">
        <v>8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4"/>
    </row>
    <row r="8" spans="1:16" ht="15.95" customHeight="1" x14ac:dyDescent="0.25">
      <c r="A8" s="17" t="s">
        <v>9</v>
      </c>
      <c r="B8" s="18" t="s">
        <v>10</v>
      </c>
      <c r="C8" s="14">
        <v>74</v>
      </c>
      <c r="D8" s="4">
        <v>83</v>
      </c>
      <c r="E8" s="4">
        <v>52</v>
      </c>
      <c r="F8" s="4">
        <f>29+2</f>
        <v>31</v>
      </c>
      <c r="G8" s="4" t="s">
        <v>45</v>
      </c>
      <c r="H8" s="14">
        <v>56</v>
      </c>
      <c r="I8" s="4">
        <v>57</v>
      </c>
      <c r="J8" s="4">
        <v>26</v>
      </c>
      <c r="K8" s="4">
        <f>29+2</f>
        <v>31</v>
      </c>
      <c r="L8" s="26" t="s">
        <v>45</v>
      </c>
      <c r="M8" s="19">
        <v>2</v>
      </c>
      <c r="N8" s="26">
        <v>0</v>
      </c>
      <c r="O8" s="26">
        <v>2</v>
      </c>
      <c r="P8" s="26" t="s">
        <v>45</v>
      </c>
    </row>
    <row r="9" spans="1:16" ht="15.95" customHeight="1" x14ac:dyDescent="0.25">
      <c r="A9" s="17" t="s">
        <v>11</v>
      </c>
      <c r="B9" s="18" t="s">
        <v>12</v>
      </c>
      <c r="C9" s="14">
        <v>55.5</v>
      </c>
      <c r="D9" s="4">
        <v>58</v>
      </c>
      <c r="E9" s="4">
        <v>30</v>
      </c>
      <c r="F9" s="4">
        <v>3</v>
      </c>
      <c r="G9" s="4">
        <v>25</v>
      </c>
      <c r="H9" s="14">
        <v>43</v>
      </c>
      <c r="I9" s="4">
        <v>45</v>
      </c>
      <c r="J9" s="4">
        <v>19</v>
      </c>
      <c r="K9" s="4">
        <v>2</v>
      </c>
      <c r="L9" s="26">
        <v>24</v>
      </c>
      <c r="M9" s="26">
        <v>9</v>
      </c>
      <c r="N9" s="26">
        <v>0</v>
      </c>
      <c r="O9" s="26">
        <v>0</v>
      </c>
      <c r="P9" s="26">
        <v>9</v>
      </c>
    </row>
    <row r="10" spans="1:16" ht="15.95" customHeight="1" x14ac:dyDescent="0.25">
      <c r="A10" s="17" t="s">
        <v>13</v>
      </c>
      <c r="B10" s="18" t="s">
        <v>14</v>
      </c>
      <c r="C10" s="14">
        <v>50.29</v>
      </c>
      <c r="D10" s="4">
        <v>48</v>
      </c>
      <c r="E10" s="4">
        <v>26</v>
      </c>
      <c r="F10" s="4">
        <v>2</v>
      </c>
      <c r="G10" s="4">
        <v>20</v>
      </c>
      <c r="H10" s="14">
        <v>38</v>
      </c>
      <c r="I10" s="4">
        <v>41</v>
      </c>
      <c r="J10" s="4">
        <v>19</v>
      </c>
      <c r="K10" s="4">
        <v>2</v>
      </c>
      <c r="L10" s="26">
        <v>20</v>
      </c>
      <c r="M10" s="26">
        <v>9</v>
      </c>
      <c r="N10" s="26">
        <v>0</v>
      </c>
      <c r="O10" s="26">
        <v>0</v>
      </c>
      <c r="P10" s="26">
        <v>9</v>
      </c>
    </row>
    <row r="11" spans="1:16" ht="15.95" customHeight="1" x14ac:dyDescent="0.25">
      <c r="A11" s="17" t="s">
        <v>15</v>
      </c>
      <c r="B11" s="18" t="s">
        <v>16</v>
      </c>
      <c r="C11" s="14">
        <v>10</v>
      </c>
      <c r="D11" s="4">
        <v>14</v>
      </c>
      <c r="E11" s="4">
        <v>9</v>
      </c>
      <c r="F11" s="4">
        <v>5</v>
      </c>
      <c r="G11" s="4" t="s">
        <v>45</v>
      </c>
      <c r="H11" s="14">
        <v>7</v>
      </c>
      <c r="I11" s="4">
        <v>8</v>
      </c>
      <c r="J11" s="4">
        <v>5</v>
      </c>
      <c r="K11" s="4">
        <v>3</v>
      </c>
      <c r="L11" s="26" t="s">
        <v>45</v>
      </c>
      <c r="M11" s="26">
        <v>2</v>
      </c>
      <c r="N11" s="26">
        <v>2</v>
      </c>
      <c r="O11" s="26">
        <v>0</v>
      </c>
      <c r="P11" s="26" t="s">
        <v>45</v>
      </c>
    </row>
    <row r="12" spans="1:16" ht="15.95" customHeight="1" x14ac:dyDescent="0.25">
      <c r="A12" s="17" t="s">
        <v>17</v>
      </c>
      <c r="B12" s="18" t="s">
        <v>18</v>
      </c>
      <c r="C12" s="14">
        <v>25.4</v>
      </c>
      <c r="D12" s="4">
        <v>27</v>
      </c>
      <c r="E12" s="4">
        <v>27</v>
      </c>
      <c r="F12" s="4" t="s">
        <v>45</v>
      </c>
      <c r="G12" s="4" t="s">
        <v>45</v>
      </c>
      <c r="H12" s="14">
        <v>20.5</v>
      </c>
      <c r="I12" s="4">
        <v>22</v>
      </c>
      <c r="J12" s="4">
        <v>22</v>
      </c>
      <c r="K12" s="4" t="s">
        <v>45</v>
      </c>
      <c r="L12" s="26" t="s">
        <v>45</v>
      </c>
      <c r="M12" s="26">
        <v>3</v>
      </c>
      <c r="N12" s="26">
        <v>3</v>
      </c>
      <c r="O12" s="26" t="s">
        <v>45</v>
      </c>
      <c r="P12" s="26" t="s">
        <v>45</v>
      </c>
    </row>
    <row r="13" spans="1:16" ht="15.95" customHeight="1" x14ac:dyDescent="0.25">
      <c r="A13" s="17" t="s">
        <v>19</v>
      </c>
      <c r="B13" s="18" t="s">
        <v>20</v>
      </c>
      <c r="C13" s="14">
        <v>35</v>
      </c>
      <c r="D13" s="4">
        <v>37</v>
      </c>
      <c r="E13" s="4">
        <v>22</v>
      </c>
      <c r="F13" s="4">
        <v>1</v>
      </c>
      <c r="G13" s="4">
        <v>14</v>
      </c>
      <c r="H13" s="14">
        <v>30</v>
      </c>
      <c r="I13" s="4">
        <v>32</v>
      </c>
      <c r="J13" s="4">
        <v>17</v>
      </c>
      <c r="K13" s="4">
        <v>1</v>
      </c>
      <c r="L13" s="26">
        <v>14</v>
      </c>
      <c r="M13" s="26">
        <v>4</v>
      </c>
      <c r="N13" s="26">
        <v>0</v>
      </c>
      <c r="O13" s="26">
        <v>0</v>
      </c>
      <c r="P13" s="26">
        <v>4</v>
      </c>
    </row>
    <row r="14" spans="1:16" ht="15.95" customHeight="1" x14ac:dyDescent="0.25">
      <c r="A14" s="17" t="s">
        <v>21</v>
      </c>
      <c r="B14" s="18" t="s">
        <v>22</v>
      </c>
      <c r="C14" s="14">
        <v>61.5</v>
      </c>
      <c r="D14" s="4">
        <v>63</v>
      </c>
      <c r="E14" s="4">
        <v>34</v>
      </c>
      <c r="F14" s="4" t="s">
        <v>45</v>
      </c>
      <c r="G14" s="4">
        <v>29</v>
      </c>
      <c r="H14" s="14">
        <v>47.5</v>
      </c>
      <c r="I14" s="4">
        <v>53</v>
      </c>
      <c r="J14" s="4">
        <v>24</v>
      </c>
      <c r="K14" s="4" t="s">
        <v>45</v>
      </c>
      <c r="L14" s="26">
        <v>29</v>
      </c>
      <c r="M14" s="26">
        <v>12</v>
      </c>
      <c r="N14" s="26">
        <v>0</v>
      </c>
      <c r="O14" s="26" t="s">
        <v>45</v>
      </c>
      <c r="P14" s="26">
        <v>12</v>
      </c>
    </row>
    <row r="15" spans="1:16" ht="15.95" customHeight="1" x14ac:dyDescent="0.25">
      <c r="A15" s="48" t="s">
        <v>23</v>
      </c>
      <c r="B15" s="48"/>
      <c r="C15" s="15">
        <f t="shared" ref="C15:P15" si="0">SUM(C8:C14)</f>
        <v>311.69</v>
      </c>
      <c r="D15" s="5">
        <f t="shared" si="0"/>
        <v>330</v>
      </c>
      <c r="E15" s="6">
        <f t="shared" si="0"/>
        <v>200</v>
      </c>
      <c r="F15" s="5">
        <f t="shared" si="0"/>
        <v>42</v>
      </c>
      <c r="G15" s="5">
        <f t="shared" si="0"/>
        <v>88</v>
      </c>
      <c r="H15" s="15">
        <f t="shared" si="0"/>
        <v>242</v>
      </c>
      <c r="I15" s="5">
        <f t="shared" si="0"/>
        <v>258</v>
      </c>
      <c r="J15" s="5">
        <f t="shared" si="0"/>
        <v>132</v>
      </c>
      <c r="K15" s="5">
        <f t="shared" si="0"/>
        <v>39</v>
      </c>
      <c r="L15" s="20">
        <f t="shared" si="0"/>
        <v>87</v>
      </c>
      <c r="M15" s="20">
        <f t="shared" si="0"/>
        <v>41</v>
      </c>
      <c r="N15" s="20">
        <f t="shared" si="0"/>
        <v>5</v>
      </c>
      <c r="O15" s="20">
        <f t="shared" si="0"/>
        <v>2</v>
      </c>
      <c r="P15" s="20">
        <f t="shared" si="0"/>
        <v>34</v>
      </c>
    </row>
    <row r="16" spans="1:16" ht="15.95" customHeight="1" x14ac:dyDescent="0.25">
      <c r="A16" s="53" t="s">
        <v>46</v>
      </c>
      <c r="B16" s="54"/>
      <c r="C16" s="15">
        <f>C15/7</f>
        <v>44.527142857142856</v>
      </c>
      <c r="D16" s="5">
        <f>D15/7</f>
        <v>47.142857142857146</v>
      </c>
      <c r="E16" s="6">
        <f>E15/7</f>
        <v>28.571428571428573</v>
      </c>
      <c r="F16" s="5">
        <f>F15/5</f>
        <v>8.4</v>
      </c>
      <c r="G16" s="5">
        <f>G15/4</f>
        <v>22</v>
      </c>
      <c r="H16" s="15">
        <f>H15/7</f>
        <v>34.571428571428569</v>
      </c>
      <c r="I16" s="5">
        <f>I15/7</f>
        <v>36.857142857142854</v>
      </c>
      <c r="J16" s="5">
        <f>J15/7</f>
        <v>18.857142857142858</v>
      </c>
      <c r="K16" s="5">
        <f>K15/5</f>
        <v>7.8</v>
      </c>
      <c r="L16" s="20">
        <f>L15/4</f>
        <v>21.75</v>
      </c>
      <c r="M16" s="20">
        <f>M15/7</f>
        <v>5.8571428571428568</v>
      </c>
      <c r="N16" s="31">
        <f>N15/7</f>
        <v>0.7142857142857143</v>
      </c>
      <c r="O16" s="31">
        <f>O15/5</f>
        <v>0.4</v>
      </c>
      <c r="P16" s="20">
        <f>P15/4</f>
        <v>8.5</v>
      </c>
    </row>
    <row r="17" spans="1:16" ht="15.95" customHeight="1" x14ac:dyDescent="0.25">
      <c r="A17" s="50" t="s">
        <v>24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2"/>
    </row>
    <row r="18" spans="1:16" ht="15.95" customHeight="1" x14ac:dyDescent="0.25">
      <c r="A18" s="17" t="s">
        <v>9</v>
      </c>
      <c r="B18" s="18" t="s">
        <v>25</v>
      </c>
      <c r="C18" s="14">
        <v>47.5</v>
      </c>
      <c r="D18" s="4">
        <v>51</v>
      </c>
      <c r="E18" s="4">
        <v>23</v>
      </c>
      <c r="F18" s="4">
        <v>2</v>
      </c>
      <c r="G18" s="4">
        <v>26</v>
      </c>
      <c r="H18" s="14">
        <v>34.25</v>
      </c>
      <c r="I18" s="4">
        <v>40</v>
      </c>
      <c r="J18" s="4">
        <v>14</v>
      </c>
      <c r="K18" s="4">
        <v>2</v>
      </c>
      <c r="L18" s="26">
        <v>24</v>
      </c>
      <c r="M18" s="26">
        <v>17</v>
      </c>
      <c r="N18" s="26">
        <v>0</v>
      </c>
      <c r="O18" s="26">
        <v>2</v>
      </c>
      <c r="P18" s="26">
        <v>15</v>
      </c>
    </row>
    <row r="19" spans="1:16" ht="15.95" customHeight="1" x14ac:dyDescent="0.25">
      <c r="A19" s="17" t="s">
        <v>11</v>
      </c>
      <c r="B19" s="18" t="s">
        <v>26</v>
      </c>
      <c r="C19" s="14">
        <v>14</v>
      </c>
      <c r="D19" s="4">
        <v>17</v>
      </c>
      <c r="E19" s="4">
        <v>9</v>
      </c>
      <c r="F19" s="4" t="s">
        <v>45</v>
      </c>
      <c r="G19" s="4">
        <v>8</v>
      </c>
      <c r="H19" s="14">
        <v>12.5</v>
      </c>
      <c r="I19" s="4">
        <v>15</v>
      </c>
      <c r="J19" s="4">
        <v>7</v>
      </c>
      <c r="K19" s="4" t="s">
        <v>45</v>
      </c>
      <c r="L19" s="26">
        <v>8</v>
      </c>
      <c r="M19" s="26">
        <v>9</v>
      </c>
      <c r="N19" s="26">
        <v>1</v>
      </c>
      <c r="O19" s="26" t="s">
        <v>45</v>
      </c>
      <c r="P19" s="26">
        <v>8</v>
      </c>
    </row>
    <row r="20" spans="1:16" ht="15.95" customHeight="1" x14ac:dyDescent="0.25">
      <c r="A20" s="17" t="s">
        <v>13</v>
      </c>
      <c r="B20" s="18" t="s">
        <v>27</v>
      </c>
      <c r="C20" s="14">
        <v>35.75</v>
      </c>
      <c r="D20" s="4">
        <v>45</v>
      </c>
      <c r="E20" s="4">
        <v>22</v>
      </c>
      <c r="F20" s="4" t="s">
        <v>45</v>
      </c>
      <c r="G20" s="4">
        <v>23</v>
      </c>
      <c r="H20" s="14">
        <v>28.75</v>
      </c>
      <c r="I20" s="4">
        <v>37</v>
      </c>
      <c r="J20" s="4">
        <v>14</v>
      </c>
      <c r="K20" s="4" t="s">
        <v>45</v>
      </c>
      <c r="L20" s="26">
        <v>23</v>
      </c>
      <c r="M20" s="26">
        <v>18</v>
      </c>
      <c r="N20" s="26">
        <v>1</v>
      </c>
      <c r="O20" s="26" t="s">
        <v>45</v>
      </c>
      <c r="P20" s="26">
        <v>17</v>
      </c>
    </row>
    <row r="21" spans="1:16" ht="15.95" customHeight="1" x14ac:dyDescent="0.25">
      <c r="A21" s="17" t="s">
        <v>15</v>
      </c>
      <c r="B21" s="18" t="s">
        <v>28</v>
      </c>
      <c r="C21" s="14">
        <v>61</v>
      </c>
      <c r="D21" s="4">
        <v>59</v>
      </c>
      <c r="E21" s="4">
        <v>29</v>
      </c>
      <c r="F21" s="4">
        <v>5</v>
      </c>
      <c r="G21" s="4">
        <v>25</v>
      </c>
      <c r="H21" s="14">
        <v>52.5</v>
      </c>
      <c r="I21" s="4">
        <v>50</v>
      </c>
      <c r="J21" s="4">
        <v>21</v>
      </c>
      <c r="K21" s="4">
        <v>4</v>
      </c>
      <c r="L21" s="26">
        <v>25</v>
      </c>
      <c r="M21" s="26">
        <v>11</v>
      </c>
      <c r="N21" s="26">
        <v>2</v>
      </c>
      <c r="O21" s="26">
        <v>0</v>
      </c>
      <c r="P21" s="26">
        <v>9</v>
      </c>
    </row>
    <row r="22" spans="1:16" ht="15.95" customHeight="1" x14ac:dyDescent="0.25">
      <c r="A22" s="48" t="s">
        <v>23</v>
      </c>
      <c r="B22" s="48"/>
      <c r="C22" s="15">
        <f t="shared" ref="C22:P22" si="1">SUM(C18:C21)</f>
        <v>158.25</v>
      </c>
      <c r="D22" s="5">
        <f t="shared" si="1"/>
        <v>172</v>
      </c>
      <c r="E22" s="5">
        <f t="shared" si="1"/>
        <v>83</v>
      </c>
      <c r="F22" s="5">
        <f t="shared" si="1"/>
        <v>7</v>
      </c>
      <c r="G22" s="5">
        <f t="shared" si="1"/>
        <v>82</v>
      </c>
      <c r="H22" s="15">
        <f t="shared" si="1"/>
        <v>128</v>
      </c>
      <c r="I22" s="5">
        <f t="shared" si="1"/>
        <v>142</v>
      </c>
      <c r="J22" s="5">
        <f t="shared" si="1"/>
        <v>56</v>
      </c>
      <c r="K22" s="5">
        <f t="shared" si="1"/>
        <v>6</v>
      </c>
      <c r="L22" s="20">
        <f t="shared" si="1"/>
        <v>80</v>
      </c>
      <c r="M22" s="20">
        <f t="shared" si="1"/>
        <v>55</v>
      </c>
      <c r="N22" s="20">
        <f t="shared" si="1"/>
        <v>4</v>
      </c>
      <c r="O22" s="20">
        <f t="shared" si="1"/>
        <v>2</v>
      </c>
      <c r="P22" s="20">
        <f t="shared" si="1"/>
        <v>49</v>
      </c>
    </row>
    <row r="23" spans="1:16" ht="15.95" customHeight="1" x14ac:dyDescent="0.25">
      <c r="A23" s="53" t="s">
        <v>46</v>
      </c>
      <c r="B23" s="54"/>
      <c r="C23" s="15">
        <f>C22/4</f>
        <v>39.5625</v>
      </c>
      <c r="D23" s="5">
        <f>D22/4</f>
        <v>43</v>
      </c>
      <c r="E23" s="5">
        <f>E22/4</f>
        <v>20.75</v>
      </c>
      <c r="F23" s="5">
        <f>F22/2</f>
        <v>3.5</v>
      </c>
      <c r="G23" s="5">
        <f>G22/4</f>
        <v>20.5</v>
      </c>
      <c r="H23" s="15">
        <f>H22/4</f>
        <v>32</v>
      </c>
      <c r="I23" s="5">
        <f>I22/4</f>
        <v>35.5</v>
      </c>
      <c r="J23" s="5">
        <f>J22/4</f>
        <v>14</v>
      </c>
      <c r="K23" s="5">
        <f>K22/2</f>
        <v>3</v>
      </c>
      <c r="L23" s="20">
        <f>L22/4</f>
        <v>20</v>
      </c>
      <c r="M23" s="20">
        <f>M22/4</f>
        <v>13.75</v>
      </c>
      <c r="N23" s="20">
        <f>N22/4</f>
        <v>1</v>
      </c>
      <c r="O23" s="20">
        <f>O22/2</f>
        <v>1</v>
      </c>
      <c r="P23" s="20">
        <f>P22/4</f>
        <v>12.25</v>
      </c>
    </row>
    <row r="24" spans="1:16" ht="27.75" customHeight="1" x14ac:dyDescent="0.25">
      <c r="A24" s="49" t="s">
        <v>29</v>
      </c>
      <c r="B24" s="49"/>
      <c r="C24" s="24">
        <f t="shared" ref="C24:P24" si="2">SUM(C15,C22)</f>
        <v>469.94</v>
      </c>
      <c r="D24" s="21">
        <f t="shared" si="2"/>
        <v>502</v>
      </c>
      <c r="E24" s="21">
        <f t="shared" si="2"/>
        <v>283</v>
      </c>
      <c r="F24" s="21">
        <f t="shared" si="2"/>
        <v>49</v>
      </c>
      <c r="G24" s="21">
        <f t="shared" si="2"/>
        <v>170</v>
      </c>
      <c r="H24" s="29">
        <f t="shared" si="2"/>
        <v>370</v>
      </c>
      <c r="I24" s="22">
        <f t="shared" si="2"/>
        <v>400</v>
      </c>
      <c r="J24" s="22">
        <f t="shared" si="2"/>
        <v>188</v>
      </c>
      <c r="K24" s="22">
        <f t="shared" si="2"/>
        <v>45</v>
      </c>
      <c r="L24" s="23">
        <f t="shared" si="2"/>
        <v>167</v>
      </c>
      <c r="M24" s="23">
        <f t="shared" si="2"/>
        <v>96</v>
      </c>
      <c r="N24" s="23">
        <f t="shared" si="2"/>
        <v>9</v>
      </c>
      <c r="O24" s="23">
        <f t="shared" si="2"/>
        <v>4</v>
      </c>
      <c r="P24" s="23">
        <f t="shared" si="2"/>
        <v>83</v>
      </c>
    </row>
    <row r="25" spans="1:16" ht="32.25" customHeight="1" x14ac:dyDescent="0.25">
      <c r="A25" s="49" t="s">
        <v>30</v>
      </c>
      <c r="B25" s="49"/>
      <c r="C25" s="24">
        <f>C24/11</f>
        <v>42.721818181818179</v>
      </c>
      <c r="D25" s="24">
        <f>D24/11</f>
        <v>45.636363636363633</v>
      </c>
      <c r="E25" s="24">
        <f>E24/11</f>
        <v>25.727272727272727</v>
      </c>
      <c r="F25" s="24">
        <f>F24/7</f>
        <v>7</v>
      </c>
      <c r="G25" s="24">
        <f>G24/8</f>
        <v>21.25</v>
      </c>
      <c r="H25" s="30">
        <f>H24/11</f>
        <v>33.636363636363633</v>
      </c>
      <c r="I25" s="24">
        <f>I24/11</f>
        <v>36.363636363636367</v>
      </c>
      <c r="J25" s="25">
        <f>J24/11</f>
        <v>17.09090909090909</v>
      </c>
      <c r="K25" s="25">
        <f>K24/7</f>
        <v>6.4285714285714288</v>
      </c>
      <c r="L25" s="16">
        <f>L24/8</f>
        <v>20.875</v>
      </c>
      <c r="M25" s="16">
        <f>M24/11</f>
        <v>8.7272727272727266</v>
      </c>
      <c r="N25" s="16">
        <f>N24/5</f>
        <v>1.8</v>
      </c>
      <c r="O25" s="23">
        <f>O24/2</f>
        <v>2</v>
      </c>
      <c r="P25" s="16">
        <f>P24/8</f>
        <v>10.375</v>
      </c>
    </row>
  </sheetData>
  <mergeCells count="22">
    <mergeCell ref="A15:B15"/>
    <mergeCell ref="A22:B22"/>
    <mergeCell ref="A24:B24"/>
    <mergeCell ref="A25:B25"/>
    <mergeCell ref="A17:P17"/>
    <mergeCell ref="A16:B16"/>
    <mergeCell ref="A23:B23"/>
    <mergeCell ref="A2:P2"/>
    <mergeCell ref="I5:L5"/>
    <mergeCell ref="M4:P4"/>
    <mergeCell ref="M5:P5"/>
    <mergeCell ref="A7:P7"/>
    <mergeCell ref="D4:G4"/>
    <mergeCell ref="H4:L4"/>
    <mergeCell ref="H5:H6"/>
    <mergeCell ref="A4:A6"/>
    <mergeCell ref="B4:B6"/>
    <mergeCell ref="C4:C6"/>
    <mergeCell ref="D5:D6"/>
    <mergeCell ref="E5:E6"/>
    <mergeCell ref="F5:F6"/>
    <mergeCell ref="G5:G6"/>
  </mergeCells>
  <pageMargins left="0.70000000000000007" right="0.70000000000000007" top="0.75" bottom="0.75" header="0.30000000000000004" footer="0.30000000000000004"/>
  <pageSetup orientation="portrait" r:id="rId1"/>
  <ignoredErrors>
    <ignoredError sqref="K23 F23 O23:O24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V23"/>
  <sheetViews>
    <sheetView workbookViewId="0">
      <selection activeCell="U23" sqref="U23"/>
    </sheetView>
  </sheetViews>
  <sheetFormatPr defaultRowHeight="15" x14ac:dyDescent="0.25"/>
  <cols>
    <col min="1" max="1" width="5.42578125" customWidth="1"/>
    <col min="2" max="2" width="27.140625" customWidth="1"/>
    <col min="3" max="3" width="7.85546875" customWidth="1"/>
    <col min="4" max="4" width="6.5703125" customWidth="1"/>
    <col min="5" max="5" width="7.42578125" customWidth="1"/>
    <col min="6" max="6" width="7" customWidth="1"/>
    <col min="7" max="7" width="7.140625" customWidth="1"/>
    <col min="8" max="8" width="6.7109375" customWidth="1"/>
    <col min="9" max="9" width="7.42578125" customWidth="1"/>
    <col min="10" max="10" width="7" customWidth="1"/>
    <col min="11" max="12" width="6.7109375" customWidth="1"/>
    <col min="13" max="13" width="7.140625" customWidth="1"/>
    <col min="14" max="14" width="7.28515625" customWidth="1"/>
    <col min="15" max="15" width="6.5703125" customWidth="1"/>
    <col min="16" max="16" width="6.28515625" customWidth="1"/>
    <col min="17" max="17" width="7.140625" customWidth="1"/>
    <col min="18" max="18" width="7" customWidth="1"/>
    <col min="19" max="19" width="6.42578125" customWidth="1"/>
    <col min="20" max="20" width="5.85546875" customWidth="1"/>
    <col min="21" max="21" width="7.140625" customWidth="1"/>
    <col min="22" max="22" width="6.5703125" customWidth="1"/>
  </cols>
  <sheetData>
    <row r="2" spans="1:22" ht="15.75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</row>
    <row r="3" spans="1:22" ht="15.75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16.5" customHeight="1" x14ac:dyDescent="0.25">
      <c r="A4" s="45" t="s">
        <v>3</v>
      </c>
      <c r="B4" s="61" t="s">
        <v>4</v>
      </c>
      <c r="C4" s="57" t="s">
        <v>38</v>
      </c>
      <c r="D4" s="58"/>
      <c r="E4" s="58"/>
      <c r="F4" s="58"/>
      <c r="G4" s="58"/>
      <c r="H4" s="58"/>
      <c r="I4" s="58"/>
      <c r="J4" s="59"/>
      <c r="K4" s="57" t="s">
        <v>40</v>
      </c>
      <c r="L4" s="58"/>
      <c r="M4" s="58"/>
      <c r="N4" s="58"/>
      <c r="O4" s="58"/>
      <c r="P4" s="58"/>
      <c r="Q4" s="58"/>
      <c r="R4" s="59"/>
      <c r="S4" s="64" t="s">
        <v>41</v>
      </c>
      <c r="T4" s="64"/>
      <c r="U4" s="64"/>
      <c r="V4" s="64"/>
    </row>
    <row r="5" spans="1:22" ht="18" customHeight="1" x14ac:dyDescent="0.25">
      <c r="A5" s="47"/>
      <c r="B5" s="62"/>
      <c r="C5" s="57" t="s">
        <v>35</v>
      </c>
      <c r="D5" s="58"/>
      <c r="E5" s="58"/>
      <c r="F5" s="59"/>
      <c r="G5" s="57" t="s">
        <v>39</v>
      </c>
      <c r="H5" s="58"/>
      <c r="I5" s="58"/>
      <c r="J5" s="59"/>
      <c r="K5" s="57" t="s">
        <v>35</v>
      </c>
      <c r="L5" s="58"/>
      <c r="M5" s="58"/>
      <c r="N5" s="59"/>
      <c r="O5" s="57" t="s">
        <v>39</v>
      </c>
      <c r="P5" s="58"/>
      <c r="Q5" s="58"/>
      <c r="R5" s="59"/>
      <c r="S5" s="65" t="s">
        <v>35</v>
      </c>
      <c r="T5" s="65" t="s">
        <v>5</v>
      </c>
      <c r="U5" s="67" t="s">
        <v>6</v>
      </c>
      <c r="V5" s="67" t="s">
        <v>7</v>
      </c>
    </row>
    <row r="6" spans="1:22" ht="30.75" customHeight="1" x14ac:dyDescent="0.25">
      <c r="A6" s="46"/>
      <c r="B6" s="63"/>
      <c r="C6" s="28" t="s">
        <v>35</v>
      </c>
      <c r="D6" s="28" t="s">
        <v>5</v>
      </c>
      <c r="E6" s="9" t="s">
        <v>6</v>
      </c>
      <c r="F6" s="9" t="s">
        <v>7</v>
      </c>
      <c r="G6" s="28" t="s">
        <v>35</v>
      </c>
      <c r="H6" s="28" t="s">
        <v>5</v>
      </c>
      <c r="I6" s="9" t="s">
        <v>6</v>
      </c>
      <c r="J6" s="9" t="s">
        <v>7</v>
      </c>
      <c r="K6" s="28" t="s">
        <v>35</v>
      </c>
      <c r="L6" s="28" t="s">
        <v>5</v>
      </c>
      <c r="M6" s="9" t="s">
        <v>6</v>
      </c>
      <c r="N6" s="9" t="s">
        <v>7</v>
      </c>
      <c r="O6" s="28" t="s">
        <v>35</v>
      </c>
      <c r="P6" s="28" t="s">
        <v>5</v>
      </c>
      <c r="Q6" s="9" t="s">
        <v>6</v>
      </c>
      <c r="R6" s="9" t="s">
        <v>7</v>
      </c>
      <c r="S6" s="66"/>
      <c r="T6" s="66"/>
      <c r="U6" s="68"/>
      <c r="V6" s="68"/>
    </row>
    <row r="7" spans="1:22" ht="15.95" customHeight="1" x14ac:dyDescent="0.25">
      <c r="A7" s="42" t="s">
        <v>8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4"/>
    </row>
    <row r="8" spans="1:22" ht="15.95" customHeight="1" x14ac:dyDescent="0.25">
      <c r="A8" s="2" t="s">
        <v>9</v>
      </c>
      <c r="B8" s="13" t="s">
        <v>10</v>
      </c>
      <c r="C8" s="10">
        <v>56</v>
      </c>
      <c r="D8" s="10">
        <v>35</v>
      </c>
      <c r="E8" s="10">
        <v>21</v>
      </c>
      <c r="F8" s="10" t="s">
        <v>45</v>
      </c>
      <c r="G8" s="10">
        <v>31</v>
      </c>
      <c r="H8" s="10">
        <v>16</v>
      </c>
      <c r="I8" s="10">
        <v>15</v>
      </c>
      <c r="J8" s="10" t="s">
        <v>45</v>
      </c>
      <c r="K8" s="10">
        <v>21</v>
      </c>
      <c r="L8" s="10">
        <v>11</v>
      </c>
      <c r="M8" s="10">
        <v>10</v>
      </c>
      <c r="N8" s="10" t="s">
        <v>45</v>
      </c>
      <c r="O8" s="10">
        <v>12</v>
      </c>
      <c r="P8" s="10">
        <v>2</v>
      </c>
      <c r="Q8" s="10">
        <v>10</v>
      </c>
      <c r="R8" s="10" t="s">
        <v>45</v>
      </c>
      <c r="S8" s="10">
        <v>6</v>
      </c>
      <c r="T8" s="10">
        <v>6</v>
      </c>
      <c r="U8" s="10">
        <v>0</v>
      </c>
      <c r="V8" s="10" t="s">
        <v>45</v>
      </c>
    </row>
    <row r="9" spans="1:22" ht="15.95" customHeight="1" x14ac:dyDescent="0.25">
      <c r="A9" s="2" t="s">
        <v>11</v>
      </c>
      <c r="B9" s="13" t="s">
        <v>12</v>
      </c>
      <c r="C9" s="10">
        <v>32</v>
      </c>
      <c r="D9" s="10">
        <v>17</v>
      </c>
      <c r="E9" s="10">
        <v>2</v>
      </c>
      <c r="F9" s="10">
        <v>13</v>
      </c>
      <c r="G9" s="10">
        <v>7</v>
      </c>
      <c r="H9" s="10">
        <v>4</v>
      </c>
      <c r="I9" s="10">
        <v>1</v>
      </c>
      <c r="J9" s="10">
        <v>2</v>
      </c>
      <c r="K9" s="10">
        <v>20</v>
      </c>
      <c r="L9" s="10">
        <v>9</v>
      </c>
      <c r="M9" s="10">
        <v>0</v>
      </c>
      <c r="N9" s="10">
        <v>11</v>
      </c>
      <c r="O9" s="10">
        <v>10</v>
      </c>
      <c r="P9" s="10">
        <v>4</v>
      </c>
      <c r="Q9" s="10">
        <v>0</v>
      </c>
      <c r="R9" s="10">
        <v>6</v>
      </c>
      <c r="S9" s="10">
        <v>6</v>
      </c>
      <c r="T9" s="10">
        <v>4</v>
      </c>
      <c r="U9" s="10">
        <v>1</v>
      </c>
      <c r="V9" s="10">
        <v>1</v>
      </c>
    </row>
    <row r="10" spans="1:22" ht="15.95" customHeight="1" x14ac:dyDescent="0.25">
      <c r="A10" s="2" t="s">
        <v>13</v>
      </c>
      <c r="B10" s="13" t="s">
        <v>14</v>
      </c>
      <c r="C10" s="10">
        <v>26</v>
      </c>
      <c r="D10" s="10">
        <v>17</v>
      </c>
      <c r="E10" s="10">
        <v>0</v>
      </c>
      <c r="F10" s="10">
        <v>9</v>
      </c>
      <c r="G10" s="10">
        <v>9</v>
      </c>
      <c r="H10" s="10">
        <v>6</v>
      </c>
      <c r="I10" s="10">
        <v>0</v>
      </c>
      <c r="J10" s="10">
        <v>3</v>
      </c>
      <c r="K10" s="10">
        <v>18</v>
      </c>
      <c r="L10" s="10">
        <v>7</v>
      </c>
      <c r="M10" s="10">
        <v>1</v>
      </c>
      <c r="N10" s="10">
        <v>10</v>
      </c>
      <c r="O10" s="10">
        <v>10</v>
      </c>
      <c r="P10" s="10">
        <v>6</v>
      </c>
      <c r="Q10" s="10">
        <v>1</v>
      </c>
      <c r="R10" s="10">
        <v>3</v>
      </c>
      <c r="S10" s="10">
        <v>4</v>
      </c>
      <c r="T10" s="10">
        <v>2</v>
      </c>
      <c r="U10" s="10">
        <v>1</v>
      </c>
      <c r="V10" s="10">
        <v>1</v>
      </c>
    </row>
    <row r="11" spans="1:22" ht="15.95" customHeight="1" x14ac:dyDescent="0.25">
      <c r="A11" s="2" t="s">
        <v>15</v>
      </c>
      <c r="B11" s="13" t="s">
        <v>16</v>
      </c>
      <c r="C11" s="10">
        <v>5</v>
      </c>
      <c r="D11" s="10">
        <v>4</v>
      </c>
      <c r="E11" s="10">
        <v>1</v>
      </c>
      <c r="F11" s="10" t="s">
        <v>45</v>
      </c>
      <c r="G11" s="10">
        <v>0</v>
      </c>
      <c r="H11" s="10">
        <v>0</v>
      </c>
      <c r="I11" s="10">
        <v>0</v>
      </c>
      <c r="J11" s="10" t="s">
        <v>45</v>
      </c>
      <c r="K11" s="10">
        <v>3</v>
      </c>
      <c r="L11" s="10">
        <v>2</v>
      </c>
      <c r="M11" s="10">
        <v>1</v>
      </c>
      <c r="N11" s="10" t="s">
        <v>45</v>
      </c>
      <c r="O11" s="10">
        <v>2</v>
      </c>
      <c r="P11" s="10">
        <v>1</v>
      </c>
      <c r="Q11" s="10">
        <v>1</v>
      </c>
      <c r="R11" s="10" t="s">
        <v>45</v>
      </c>
      <c r="S11" s="10">
        <v>6</v>
      </c>
      <c r="T11" s="10">
        <v>3</v>
      </c>
      <c r="U11" s="10">
        <v>3</v>
      </c>
      <c r="V11" s="10" t="s">
        <v>45</v>
      </c>
    </row>
    <row r="12" spans="1:22" ht="15.95" customHeight="1" x14ac:dyDescent="0.25">
      <c r="A12" s="2" t="s">
        <v>17</v>
      </c>
      <c r="B12" s="13" t="s">
        <v>18</v>
      </c>
      <c r="C12" s="10">
        <v>19</v>
      </c>
      <c r="D12" s="10">
        <v>19</v>
      </c>
      <c r="E12" s="10" t="s">
        <v>45</v>
      </c>
      <c r="F12" s="10" t="s">
        <v>45</v>
      </c>
      <c r="G12" s="10">
        <v>10</v>
      </c>
      <c r="H12" s="10">
        <v>10</v>
      </c>
      <c r="I12" s="10" t="s">
        <v>45</v>
      </c>
      <c r="J12" s="10" t="s">
        <v>45</v>
      </c>
      <c r="K12" s="10">
        <v>7</v>
      </c>
      <c r="L12" s="10">
        <v>7</v>
      </c>
      <c r="M12" s="10" t="s">
        <v>45</v>
      </c>
      <c r="N12" s="10" t="s">
        <v>45</v>
      </c>
      <c r="O12" s="10">
        <v>4</v>
      </c>
      <c r="P12" s="10">
        <v>4</v>
      </c>
      <c r="Q12" s="10" t="s">
        <v>45</v>
      </c>
      <c r="R12" s="10" t="s">
        <v>45</v>
      </c>
      <c r="S12" s="10">
        <v>1</v>
      </c>
      <c r="T12" s="10">
        <v>1</v>
      </c>
      <c r="U12" s="10" t="s">
        <v>45</v>
      </c>
      <c r="V12" s="10" t="s">
        <v>45</v>
      </c>
    </row>
    <row r="13" spans="1:22" ht="15.95" customHeight="1" x14ac:dyDescent="0.25">
      <c r="A13" s="2" t="s">
        <v>19</v>
      </c>
      <c r="B13" s="13" t="s">
        <v>20</v>
      </c>
      <c r="C13" s="10">
        <v>15</v>
      </c>
      <c r="D13" s="10">
        <v>10</v>
      </c>
      <c r="E13" s="10">
        <v>0</v>
      </c>
      <c r="F13" s="10">
        <v>5</v>
      </c>
      <c r="G13" s="10">
        <v>5</v>
      </c>
      <c r="H13" s="10">
        <v>3</v>
      </c>
      <c r="I13" s="10">
        <v>0</v>
      </c>
      <c r="J13" s="10">
        <v>2</v>
      </c>
      <c r="K13" s="10">
        <v>21</v>
      </c>
      <c r="L13" s="10">
        <v>12</v>
      </c>
      <c r="M13" s="10">
        <v>1</v>
      </c>
      <c r="N13" s="10">
        <v>8</v>
      </c>
      <c r="O13" s="10">
        <v>14</v>
      </c>
      <c r="P13" s="10">
        <v>7</v>
      </c>
      <c r="Q13" s="10">
        <v>1</v>
      </c>
      <c r="R13" s="10">
        <v>6</v>
      </c>
      <c r="S13" s="10">
        <v>1</v>
      </c>
      <c r="T13" s="10">
        <v>0</v>
      </c>
      <c r="U13" s="10">
        <v>0</v>
      </c>
      <c r="V13" s="10">
        <v>1</v>
      </c>
    </row>
    <row r="14" spans="1:22" ht="15.95" customHeight="1" x14ac:dyDescent="0.25">
      <c r="A14" s="2" t="s">
        <v>21</v>
      </c>
      <c r="B14" s="13" t="s">
        <v>22</v>
      </c>
      <c r="C14" s="10">
        <v>43</v>
      </c>
      <c r="D14" s="10">
        <v>25</v>
      </c>
      <c r="E14" s="10" t="s">
        <v>45</v>
      </c>
      <c r="F14" s="10">
        <v>18</v>
      </c>
      <c r="G14" s="10">
        <v>12</v>
      </c>
      <c r="H14" s="10">
        <v>8</v>
      </c>
      <c r="I14" s="10" t="s">
        <v>45</v>
      </c>
      <c r="J14" s="10">
        <v>4</v>
      </c>
      <c r="K14" s="10">
        <v>11</v>
      </c>
      <c r="L14" s="10">
        <v>5</v>
      </c>
      <c r="M14" s="10" t="s">
        <v>45</v>
      </c>
      <c r="N14" s="10">
        <v>6</v>
      </c>
      <c r="O14" s="10">
        <v>6</v>
      </c>
      <c r="P14" s="10">
        <v>3</v>
      </c>
      <c r="Q14" s="10" t="s">
        <v>45</v>
      </c>
      <c r="R14" s="10">
        <v>3</v>
      </c>
      <c r="S14" s="10">
        <v>9</v>
      </c>
      <c r="T14" s="10">
        <v>4</v>
      </c>
      <c r="U14" s="10" t="s">
        <v>45</v>
      </c>
      <c r="V14" s="10">
        <v>5</v>
      </c>
    </row>
    <row r="15" spans="1:22" ht="15.95" customHeight="1" x14ac:dyDescent="0.25">
      <c r="A15" s="60" t="s">
        <v>23</v>
      </c>
      <c r="B15" s="53"/>
      <c r="C15" s="11">
        <f t="shared" ref="C15:V15" si="0">SUM(C8:C14)</f>
        <v>196</v>
      </c>
      <c r="D15" s="11">
        <f t="shared" si="0"/>
        <v>127</v>
      </c>
      <c r="E15" s="11">
        <f t="shared" si="0"/>
        <v>24</v>
      </c>
      <c r="F15" s="11">
        <f t="shared" si="0"/>
        <v>45</v>
      </c>
      <c r="G15" s="11">
        <f t="shared" si="0"/>
        <v>74</v>
      </c>
      <c r="H15" s="11">
        <f t="shared" si="0"/>
        <v>47</v>
      </c>
      <c r="I15" s="11">
        <f t="shared" si="0"/>
        <v>16</v>
      </c>
      <c r="J15" s="11">
        <f t="shared" si="0"/>
        <v>11</v>
      </c>
      <c r="K15" s="11">
        <f t="shared" si="0"/>
        <v>101</v>
      </c>
      <c r="L15" s="11">
        <f t="shared" si="0"/>
        <v>53</v>
      </c>
      <c r="M15" s="11">
        <f t="shared" si="0"/>
        <v>13</v>
      </c>
      <c r="N15" s="11">
        <f t="shared" si="0"/>
        <v>35</v>
      </c>
      <c r="O15" s="11">
        <f t="shared" si="0"/>
        <v>58</v>
      </c>
      <c r="P15" s="11">
        <f t="shared" si="0"/>
        <v>27</v>
      </c>
      <c r="Q15" s="11">
        <f t="shared" si="0"/>
        <v>13</v>
      </c>
      <c r="R15" s="11">
        <f t="shared" si="0"/>
        <v>18</v>
      </c>
      <c r="S15" s="11">
        <f t="shared" si="0"/>
        <v>33</v>
      </c>
      <c r="T15" s="11">
        <f t="shared" si="0"/>
        <v>20</v>
      </c>
      <c r="U15" s="11">
        <f t="shared" si="0"/>
        <v>5</v>
      </c>
      <c r="V15" s="11">
        <f t="shared" si="0"/>
        <v>8</v>
      </c>
    </row>
    <row r="16" spans="1:22" ht="15.95" customHeight="1" x14ac:dyDescent="0.25">
      <c r="A16" s="42" t="s">
        <v>24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4"/>
    </row>
    <row r="17" spans="1:22" ht="15.95" customHeight="1" x14ac:dyDescent="0.25">
      <c r="A17" s="2" t="s">
        <v>9</v>
      </c>
      <c r="B17" s="13" t="s">
        <v>25</v>
      </c>
      <c r="C17" s="10">
        <v>22</v>
      </c>
      <c r="D17" s="10">
        <v>11</v>
      </c>
      <c r="E17" s="10">
        <v>0</v>
      </c>
      <c r="F17" s="10">
        <v>11</v>
      </c>
      <c r="G17" s="10">
        <v>8</v>
      </c>
      <c r="H17" s="10">
        <v>4</v>
      </c>
      <c r="I17" s="10">
        <v>0</v>
      </c>
      <c r="J17" s="10">
        <v>4</v>
      </c>
      <c r="K17" s="10">
        <v>23</v>
      </c>
      <c r="L17" s="10">
        <v>10</v>
      </c>
      <c r="M17" s="10">
        <v>2</v>
      </c>
      <c r="N17" s="10">
        <v>11</v>
      </c>
      <c r="O17" s="10">
        <v>11</v>
      </c>
      <c r="P17" s="10">
        <v>5</v>
      </c>
      <c r="Q17" s="10">
        <v>2</v>
      </c>
      <c r="R17" s="10">
        <v>4</v>
      </c>
      <c r="S17" s="10">
        <v>6</v>
      </c>
      <c r="T17" s="10">
        <v>2</v>
      </c>
      <c r="U17" s="10">
        <v>0</v>
      </c>
      <c r="V17" s="10">
        <v>4</v>
      </c>
    </row>
    <row r="18" spans="1:22" ht="15.95" customHeight="1" x14ac:dyDescent="0.25">
      <c r="A18" s="2" t="s">
        <v>11</v>
      </c>
      <c r="B18" s="13" t="s">
        <v>26</v>
      </c>
      <c r="C18" s="10">
        <v>6</v>
      </c>
      <c r="D18" s="10">
        <v>6</v>
      </c>
      <c r="E18" s="10" t="s">
        <v>45</v>
      </c>
      <c r="F18" s="10">
        <v>0</v>
      </c>
      <c r="G18" s="10">
        <v>2</v>
      </c>
      <c r="H18" s="10">
        <v>2</v>
      </c>
      <c r="I18" s="10" t="s">
        <v>45</v>
      </c>
      <c r="J18" s="10">
        <v>0</v>
      </c>
      <c r="K18" s="10">
        <v>5</v>
      </c>
      <c r="L18" s="10">
        <v>1</v>
      </c>
      <c r="M18" s="10" t="s">
        <v>45</v>
      </c>
      <c r="N18" s="10">
        <v>4</v>
      </c>
      <c r="O18" s="10">
        <v>3</v>
      </c>
      <c r="P18" s="10">
        <v>1</v>
      </c>
      <c r="Q18" s="10" t="s">
        <v>45</v>
      </c>
      <c r="R18" s="10">
        <v>2</v>
      </c>
      <c r="S18" s="10">
        <v>6</v>
      </c>
      <c r="T18" s="10">
        <v>2</v>
      </c>
      <c r="U18" s="10" t="s">
        <v>45</v>
      </c>
      <c r="V18" s="10">
        <v>4</v>
      </c>
    </row>
    <row r="19" spans="1:22" ht="15.95" customHeight="1" x14ac:dyDescent="0.25">
      <c r="A19" s="2" t="s">
        <v>13</v>
      </c>
      <c r="B19" s="13" t="s">
        <v>27</v>
      </c>
      <c r="C19" s="10">
        <v>28</v>
      </c>
      <c r="D19" s="10">
        <v>15</v>
      </c>
      <c r="E19" s="10" t="s">
        <v>45</v>
      </c>
      <c r="F19" s="10">
        <v>13</v>
      </c>
      <c r="G19" s="10">
        <v>2</v>
      </c>
      <c r="H19" s="10">
        <v>2</v>
      </c>
      <c r="I19" s="10" t="s">
        <v>45</v>
      </c>
      <c r="J19" s="10">
        <v>0</v>
      </c>
      <c r="K19" s="10">
        <v>15</v>
      </c>
      <c r="L19" s="10">
        <v>6</v>
      </c>
      <c r="M19" s="10" t="s">
        <v>45</v>
      </c>
      <c r="N19" s="10">
        <v>9</v>
      </c>
      <c r="O19" s="10">
        <v>8</v>
      </c>
      <c r="P19" s="10">
        <v>3</v>
      </c>
      <c r="Q19" s="10" t="s">
        <v>45</v>
      </c>
      <c r="R19" s="10">
        <v>5</v>
      </c>
      <c r="S19" s="10">
        <v>2</v>
      </c>
      <c r="T19" s="10">
        <v>1</v>
      </c>
      <c r="U19" s="10" t="s">
        <v>45</v>
      </c>
      <c r="V19" s="10">
        <v>1</v>
      </c>
    </row>
    <row r="20" spans="1:22" ht="15.95" customHeight="1" x14ac:dyDescent="0.25">
      <c r="A20" s="2" t="s">
        <v>15</v>
      </c>
      <c r="B20" s="13" t="s">
        <v>28</v>
      </c>
      <c r="C20" s="10">
        <v>30</v>
      </c>
      <c r="D20" s="10">
        <v>17</v>
      </c>
      <c r="E20" s="10">
        <v>3</v>
      </c>
      <c r="F20" s="10">
        <v>10</v>
      </c>
      <c r="G20" s="10">
        <v>10</v>
      </c>
      <c r="H20" s="10">
        <v>7</v>
      </c>
      <c r="I20" s="10">
        <v>1</v>
      </c>
      <c r="J20" s="10">
        <v>2</v>
      </c>
      <c r="K20" s="10">
        <v>20</v>
      </c>
      <c r="L20" s="10">
        <v>8</v>
      </c>
      <c r="M20" s="10">
        <v>2</v>
      </c>
      <c r="N20" s="10">
        <v>10</v>
      </c>
      <c r="O20" s="10">
        <v>12</v>
      </c>
      <c r="P20" s="10">
        <v>5</v>
      </c>
      <c r="Q20" s="10">
        <v>2</v>
      </c>
      <c r="R20" s="10">
        <v>5</v>
      </c>
      <c r="S20" s="10">
        <v>9</v>
      </c>
      <c r="T20" s="10">
        <v>4</v>
      </c>
      <c r="U20" s="10">
        <v>0</v>
      </c>
      <c r="V20" s="10">
        <v>5</v>
      </c>
    </row>
    <row r="21" spans="1:22" ht="15.95" customHeight="1" x14ac:dyDescent="0.25">
      <c r="A21" s="60" t="s">
        <v>23</v>
      </c>
      <c r="B21" s="53"/>
      <c r="C21" s="11">
        <f t="shared" ref="C21:V21" si="1">SUM(C17:C20)</f>
        <v>86</v>
      </c>
      <c r="D21" s="11">
        <f t="shared" si="1"/>
        <v>49</v>
      </c>
      <c r="E21" s="11">
        <f t="shared" si="1"/>
        <v>3</v>
      </c>
      <c r="F21" s="11">
        <f t="shared" si="1"/>
        <v>34</v>
      </c>
      <c r="G21" s="11">
        <f t="shared" si="1"/>
        <v>22</v>
      </c>
      <c r="H21" s="11">
        <f t="shared" si="1"/>
        <v>15</v>
      </c>
      <c r="I21" s="11">
        <f t="shared" si="1"/>
        <v>1</v>
      </c>
      <c r="J21" s="11">
        <f t="shared" si="1"/>
        <v>6</v>
      </c>
      <c r="K21" s="11">
        <f t="shared" si="1"/>
        <v>63</v>
      </c>
      <c r="L21" s="11">
        <f t="shared" si="1"/>
        <v>25</v>
      </c>
      <c r="M21" s="11">
        <f t="shared" si="1"/>
        <v>4</v>
      </c>
      <c r="N21" s="11">
        <f t="shared" si="1"/>
        <v>34</v>
      </c>
      <c r="O21" s="11">
        <f t="shared" si="1"/>
        <v>34</v>
      </c>
      <c r="P21" s="11">
        <f t="shared" si="1"/>
        <v>14</v>
      </c>
      <c r="Q21" s="11">
        <f t="shared" si="1"/>
        <v>4</v>
      </c>
      <c r="R21" s="11">
        <f t="shared" si="1"/>
        <v>16</v>
      </c>
      <c r="S21" s="11">
        <f t="shared" si="1"/>
        <v>23</v>
      </c>
      <c r="T21" s="11">
        <f t="shared" si="1"/>
        <v>9</v>
      </c>
      <c r="U21" s="11">
        <f t="shared" si="1"/>
        <v>0</v>
      </c>
      <c r="V21" s="11">
        <f t="shared" si="1"/>
        <v>14</v>
      </c>
    </row>
    <row r="22" spans="1:22" ht="32.25" customHeight="1" x14ac:dyDescent="0.25">
      <c r="A22" s="55" t="s">
        <v>29</v>
      </c>
      <c r="B22" s="56"/>
      <c r="C22" s="12">
        <f t="shared" ref="C22:V22" si="2">SUM(C15,C21)</f>
        <v>282</v>
      </c>
      <c r="D22" s="12">
        <f t="shared" si="2"/>
        <v>176</v>
      </c>
      <c r="E22" s="12">
        <f t="shared" si="2"/>
        <v>27</v>
      </c>
      <c r="F22" s="12">
        <f t="shared" si="2"/>
        <v>79</v>
      </c>
      <c r="G22" s="12">
        <f t="shared" si="2"/>
        <v>96</v>
      </c>
      <c r="H22" s="12">
        <f t="shared" si="2"/>
        <v>62</v>
      </c>
      <c r="I22" s="12">
        <f t="shared" si="2"/>
        <v>17</v>
      </c>
      <c r="J22" s="12">
        <f t="shared" si="2"/>
        <v>17</v>
      </c>
      <c r="K22" s="12">
        <f t="shared" si="2"/>
        <v>164</v>
      </c>
      <c r="L22" s="12">
        <f t="shared" si="2"/>
        <v>78</v>
      </c>
      <c r="M22" s="12">
        <f t="shared" si="2"/>
        <v>17</v>
      </c>
      <c r="N22" s="12">
        <f t="shared" si="2"/>
        <v>69</v>
      </c>
      <c r="O22" s="12">
        <f t="shared" si="2"/>
        <v>92</v>
      </c>
      <c r="P22" s="12">
        <f t="shared" si="2"/>
        <v>41</v>
      </c>
      <c r="Q22" s="12">
        <f t="shared" si="2"/>
        <v>17</v>
      </c>
      <c r="R22" s="12">
        <f t="shared" si="2"/>
        <v>34</v>
      </c>
      <c r="S22" s="12">
        <f t="shared" si="2"/>
        <v>56</v>
      </c>
      <c r="T22" s="12">
        <f t="shared" si="2"/>
        <v>29</v>
      </c>
      <c r="U22" s="12">
        <f t="shared" si="2"/>
        <v>5</v>
      </c>
      <c r="V22" s="12">
        <f t="shared" si="2"/>
        <v>22</v>
      </c>
    </row>
    <row r="23" spans="1:22" ht="35.25" customHeight="1" x14ac:dyDescent="0.25">
      <c r="A23" s="55" t="s">
        <v>30</v>
      </c>
      <c r="B23" s="56"/>
      <c r="C23" s="16">
        <f>C22/11</f>
        <v>25.636363636363637</v>
      </c>
      <c r="D23" s="16">
        <f>D22/11</f>
        <v>16</v>
      </c>
      <c r="E23" s="16">
        <f>E22/7</f>
        <v>3.8571428571428572</v>
      </c>
      <c r="F23" s="16">
        <f>F22/8</f>
        <v>9.875</v>
      </c>
      <c r="G23" s="16">
        <f>G22/11</f>
        <v>8.7272727272727266</v>
      </c>
      <c r="H23" s="16">
        <f>H22/11</f>
        <v>5.6363636363636367</v>
      </c>
      <c r="I23" s="16">
        <f>I22/7</f>
        <v>2.4285714285714284</v>
      </c>
      <c r="J23" s="16">
        <f>J22/8</f>
        <v>2.125</v>
      </c>
      <c r="K23" s="16">
        <f>K22/11</f>
        <v>14.909090909090908</v>
      </c>
      <c r="L23" s="16">
        <f>L228/11</f>
        <v>0</v>
      </c>
      <c r="M23" s="16">
        <f>M22/7</f>
        <v>2.4285714285714284</v>
      </c>
      <c r="N23" s="16">
        <f>N22/8</f>
        <v>8.625</v>
      </c>
      <c r="O23" s="16">
        <f>O22/11</f>
        <v>8.3636363636363633</v>
      </c>
      <c r="P23" s="16">
        <f>P22/11</f>
        <v>3.7272727272727271</v>
      </c>
      <c r="Q23" s="16">
        <f>Q22/7</f>
        <v>2.4285714285714284</v>
      </c>
      <c r="R23" s="16">
        <f>R22/8</f>
        <v>4.25</v>
      </c>
      <c r="S23" s="16">
        <f>S22/11</f>
        <v>5.0909090909090908</v>
      </c>
      <c r="T23" s="16">
        <f>T22/11</f>
        <v>2.6363636363636362</v>
      </c>
      <c r="U23" s="16">
        <f>U22/7</f>
        <v>0.7142857142857143</v>
      </c>
      <c r="V23" s="16">
        <f>V22/8</f>
        <v>2.75</v>
      </c>
    </row>
  </sheetData>
  <mergeCells count="20">
    <mergeCell ref="S5:S6"/>
    <mergeCell ref="T5:T6"/>
    <mergeCell ref="U5:U6"/>
    <mergeCell ref="V5:V6"/>
    <mergeCell ref="A2:V2"/>
    <mergeCell ref="A23:B23"/>
    <mergeCell ref="C4:J4"/>
    <mergeCell ref="C5:F5"/>
    <mergeCell ref="G5:J5"/>
    <mergeCell ref="K4:R4"/>
    <mergeCell ref="K5:N5"/>
    <mergeCell ref="O5:R5"/>
    <mergeCell ref="A7:V7"/>
    <mergeCell ref="A16:V16"/>
    <mergeCell ref="A15:B15"/>
    <mergeCell ref="A21:B21"/>
    <mergeCell ref="A22:B22"/>
    <mergeCell ref="A4:A6"/>
    <mergeCell ref="B4:B6"/>
    <mergeCell ref="S4:V4"/>
  </mergeCells>
  <pageMargins left="0.70000000000000007" right="0.70000000000000007" top="0.75" bottom="0.75" header="0.30000000000000004" footer="0.30000000000000004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N27"/>
  <sheetViews>
    <sheetView workbookViewId="0">
      <selection activeCell="A23" sqref="A23:B23"/>
    </sheetView>
  </sheetViews>
  <sheetFormatPr defaultRowHeight="15" x14ac:dyDescent="0.25"/>
  <cols>
    <col min="1" max="1" width="5.7109375" customWidth="1"/>
    <col min="2" max="2" width="27" customWidth="1"/>
    <col min="3" max="3" width="8.5703125" customWidth="1"/>
    <col min="4" max="4" width="7.85546875" customWidth="1"/>
    <col min="5" max="5" width="8" customWidth="1"/>
    <col min="6" max="6" width="7.42578125" customWidth="1"/>
    <col min="7" max="7" width="8.42578125" customWidth="1"/>
    <col min="8" max="9" width="7.85546875" customWidth="1"/>
    <col min="10" max="10" width="7.5703125" customWidth="1"/>
    <col min="11" max="11" width="9.140625" customWidth="1"/>
    <col min="12" max="13" width="7.7109375" customWidth="1"/>
    <col min="14" max="14" width="8.42578125" customWidth="1"/>
  </cols>
  <sheetData>
    <row r="2" spans="1:14" ht="15.75" x14ac:dyDescent="0.25">
      <c r="A2" s="69" t="s">
        <v>2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4" ht="15.75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4" ht="15.95" customHeight="1" x14ac:dyDescent="0.25">
      <c r="A4" s="45" t="s">
        <v>3</v>
      </c>
      <c r="B4" s="45" t="s">
        <v>4</v>
      </c>
      <c r="C4" s="61" t="s">
        <v>42</v>
      </c>
      <c r="D4" s="70"/>
      <c r="E4" s="70"/>
      <c r="F4" s="71"/>
      <c r="G4" s="61" t="s">
        <v>43</v>
      </c>
      <c r="H4" s="70"/>
      <c r="I4" s="70"/>
      <c r="J4" s="71"/>
      <c r="K4" s="61" t="s">
        <v>44</v>
      </c>
      <c r="L4" s="70"/>
      <c r="M4" s="70"/>
      <c r="N4" s="71"/>
    </row>
    <row r="5" spans="1:14" ht="15.95" customHeight="1" x14ac:dyDescent="0.25">
      <c r="A5" s="47"/>
      <c r="B5" s="47"/>
      <c r="C5" s="63"/>
      <c r="D5" s="72"/>
      <c r="E5" s="72"/>
      <c r="F5" s="73"/>
      <c r="G5" s="63"/>
      <c r="H5" s="72"/>
      <c r="I5" s="72"/>
      <c r="J5" s="73"/>
      <c r="K5" s="63"/>
      <c r="L5" s="72"/>
      <c r="M5" s="72"/>
      <c r="N5" s="73"/>
    </row>
    <row r="6" spans="1:14" ht="30.75" customHeight="1" x14ac:dyDescent="0.25">
      <c r="A6" s="47"/>
      <c r="B6" s="47"/>
      <c r="C6" s="7" t="s">
        <v>32</v>
      </c>
      <c r="D6" s="7" t="s">
        <v>5</v>
      </c>
      <c r="E6" s="7" t="s">
        <v>6</v>
      </c>
      <c r="F6" s="7" t="s">
        <v>7</v>
      </c>
      <c r="G6" s="7" t="s">
        <v>32</v>
      </c>
      <c r="H6" s="7" t="s">
        <v>5</v>
      </c>
      <c r="I6" s="7" t="s">
        <v>6</v>
      </c>
      <c r="J6" s="7" t="s">
        <v>7</v>
      </c>
      <c r="K6" s="7" t="s">
        <v>32</v>
      </c>
      <c r="L6" s="7" t="s">
        <v>5</v>
      </c>
      <c r="M6" s="7" t="s">
        <v>6</v>
      </c>
      <c r="N6" s="7" t="s">
        <v>7</v>
      </c>
    </row>
    <row r="7" spans="1:14" ht="15.95" customHeight="1" x14ac:dyDescent="0.25">
      <c r="A7" s="42" t="s">
        <v>8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4"/>
    </row>
    <row r="8" spans="1:14" ht="15.95" customHeight="1" x14ac:dyDescent="0.25">
      <c r="A8" s="2" t="s">
        <v>9</v>
      </c>
      <c r="B8" s="3" t="s">
        <v>10</v>
      </c>
      <c r="C8" s="4">
        <f>24930/57</f>
        <v>437.36842105263156</v>
      </c>
      <c r="D8" s="4">
        <f>7690/26</f>
        <v>295.76923076923077</v>
      </c>
      <c r="E8" s="4">
        <f>17240/31</f>
        <v>556.12903225806451</v>
      </c>
      <c r="F8" s="4" t="s">
        <v>45</v>
      </c>
      <c r="G8" s="4">
        <f>405588/57</f>
        <v>7115.5789473684208</v>
      </c>
      <c r="H8" s="4">
        <f>114320/26</f>
        <v>4396.9230769230771</v>
      </c>
      <c r="I8" s="4">
        <f>291268/31</f>
        <v>9395.7419354838712</v>
      </c>
      <c r="J8" s="4" t="s">
        <v>45</v>
      </c>
      <c r="K8" s="26">
        <f>692018/57</f>
        <v>12140.666666666666</v>
      </c>
      <c r="L8" s="26">
        <f>241311/26</f>
        <v>9281.1923076923085</v>
      </c>
      <c r="M8" s="26">
        <f>450707/31</f>
        <v>14538.935483870968</v>
      </c>
      <c r="N8" s="26" t="s">
        <v>45</v>
      </c>
    </row>
    <row r="9" spans="1:14" ht="15.95" customHeight="1" x14ac:dyDescent="0.25">
      <c r="A9" s="2" t="s">
        <v>11</v>
      </c>
      <c r="B9" s="3" t="s">
        <v>12</v>
      </c>
      <c r="C9" s="4">
        <f>12230/45</f>
        <v>271.77777777777777</v>
      </c>
      <c r="D9" s="4">
        <f>4176/19</f>
        <v>219.78947368421052</v>
      </c>
      <c r="E9" s="4">
        <f>737/2</f>
        <v>368.5</v>
      </c>
      <c r="F9" s="4">
        <f>7317/24</f>
        <v>304.875</v>
      </c>
      <c r="G9" s="4">
        <f>281102/45</f>
        <v>6246.7111111111108</v>
      </c>
      <c r="H9" s="4">
        <f>92675/19</f>
        <v>4877.6315789473683</v>
      </c>
      <c r="I9" s="4">
        <f>15507/2</f>
        <v>7753.5</v>
      </c>
      <c r="J9" s="4">
        <f>172920/24</f>
        <v>7205</v>
      </c>
      <c r="K9" s="26">
        <f>296660/45</f>
        <v>6592.4444444444443</v>
      </c>
      <c r="L9" s="26">
        <f>68619/19</f>
        <v>3611.5263157894738</v>
      </c>
      <c r="M9" s="26">
        <f>19728/2</f>
        <v>9864</v>
      </c>
      <c r="N9" s="26">
        <f>208313/24</f>
        <v>8679.7083333333339</v>
      </c>
    </row>
    <row r="10" spans="1:14" ht="15.95" customHeight="1" x14ac:dyDescent="0.25">
      <c r="A10" s="2" t="s">
        <v>13</v>
      </c>
      <c r="B10" s="3" t="s">
        <v>14</v>
      </c>
      <c r="C10" s="4">
        <f>8490/41</f>
        <v>207.07317073170731</v>
      </c>
      <c r="D10" s="4">
        <f>4201/19</f>
        <v>221.10526315789474</v>
      </c>
      <c r="E10" s="4">
        <f>573/2</f>
        <v>286.5</v>
      </c>
      <c r="F10" s="4">
        <f>3716/20</f>
        <v>185.8</v>
      </c>
      <c r="G10" s="4">
        <f>221241/41</f>
        <v>5396.1219512195121</v>
      </c>
      <c r="H10" s="4">
        <f>150857/19</f>
        <v>7939.8421052631575</v>
      </c>
      <c r="I10" s="4">
        <f>8460/2</f>
        <v>4230</v>
      </c>
      <c r="J10" s="4">
        <f>61924/20</f>
        <v>3096.2</v>
      </c>
      <c r="K10" s="26">
        <f>235691/41</f>
        <v>5748.5609756097565</v>
      </c>
      <c r="L10" s="26">
        <f>79595/19</f>
        <v>4189.2105263157891</v>
      </c>
      <c r="M10" s="26">
        <f>22918/2</f>
        <v>11459</v>
      </c>
      <c r="N10" s="26">
        <f>133178/20</f>
        <v>6658.9</v>
      </c>
    </row>
    <row r="11" spans="1:14" ht="15.95" customHeight="1" x14ac:dyDescent="0.25">
      <c r="A11" s="2" t="s">
        <v>15</v>
      </c>
      <c r="B11" s="3" t="s">
        <v>16</v>
      </c>
      <c r="C11" s="4">
        <f>1449/8</f>
        <v>181.125</v>
      </c>
      <c r="D11" s="4">
        <f>783/5</f>
        <v>156.6</v>
      </c>
      <c r="E11" s="4">
        <f>666/3</f>
        <v>222</v>
      </c>
      <c r="F11" s="4" t="s">
        <v>45</v>
      </c>
      <c r="G11" s="4">
        <f>23507/8</f>
        <v>2938.375</v>
      </c>
      <c r="H11" s="4">
        <f>10092/5</f>
        <v>2018.4</v>
      </c>
      <c r="I11" s="4">
        <f>13415/3</f>
        <v>4471.666666666667</v>
      </c>
      <c r="J11" s="4" t="s">
        <v>45</v>
      </c>
      <c r="K11" s="26">
        <f>38101/8</f>
        <v>4762.625</v>
      </c>
      <c r="L11" s="26">
        <f>11653/5</f>
        <v>2330.6</v>
      </c>
      <c r="M11" s="26">
        <f>26448/3</f>
        <v>8816</v>
      </c>
      <c r="N11" s="26" t="s">
        <v>45</v>
      </c>
    </row>
    <row r="12" spans="1:14" ht="15.95" customHeight="1" x14ac:dyDescent="0.25">
      <c r="A12" s="2" t="s">
        <v>17</v>
      </c>
      <c r="B12" s="3" t="s">
        <v>18</v>
      </c>
      <c r="C12" s="4">
        <f>6249/22</f>
        <v>284.04545454545456</v>
      </c>
      <c r="D12" s="4">
        <f>6249/22</f>
        <v>284.04545454545456</v>
      </c>
      <c r="E12" s="4" t="s">
        <v>45</v>
      </c>
      <c r="F12" s="4" t="s">
        <v>45</v>
      </c>
      <c r="G12" s="4">
        <f>92124/22</f>
        <v>4187.454545454545</v>
      </c>
      <c r="H12" s="4">
        <f>92124/22</f>
        <v>4187.454545454545</v>
      </c>
      <c r="I12" s="4" t="s">
        <v>45</v>
      </c>
      <c r="J12" s="4" t="s">
        <v>45</v>
      </c>
      <c r="K12" s="26">
        <f>142020/22</f>
        <v>6455.454545454545</v>
      </c>
      <c r="L12" s="26">
        <f>142020/22</f>
        <v>6455.454545454545</v>
      </c>
      <c r="M12" s="26" t="s">
        <v>45</v>
      </c>
      <c r="N12" s="26" t="s">
        <v>45</v>
      </c>
    </row>
    <row r="13" spans="1:14" ht="15.95" customHeight="1" x14ac:dyDescent="0.25">
      <c r="A13" s="2" t="s">
        <v>19</v>
      </c>
      <c r="B13" s="3" t="s">
        <v>20</v>
      </c>
      <c r="C13" s="4">
        <f>4622/32</f>
        <v>144.4375</v>
      </c>
      <c r="D13" s="4">
        <f>1764/17</f>
        <v>103.76470588235294</v>
      </c>
      <c r="E13" s="4">
        <f>263/1</f>
        <v>263</v>
      </c>
      <c r="F13" s="4">
        <f>2595/14</f>
        <v>185.35714285714286</v>
      </c>
      <c r="G13" s="4">
        <f>71788/32</f>
        <v>2243.375</v>
      </c>
      <c r="H13" s="4">
        <f>30394/17</f>
        <v>1787.8823529411766</v>
      </c>
      <c r="I13" s="4">
        <f>3014/1</f>
        <v>3014</v>
      </c>
      <c r="J13" s="4">
        <f>38380/14</f>
        <v>2741.4285714285716</v>
      </c>
      <c r="K13" s="26">
        <f>133197/32</f>
        <v>4162.40625</v>
      </c>
      <c r="L13" s="26">
        <f>41671/17</f>
        <v>2451.2352941176468</v>
      </c>
      <c r="M13" s="26">
        <f>5817/1</f>
        <v>5817</v>
      </c>
      <c r="N13" s="26">
        <f>85709/14</f>
        <v>6122.0714285714284</v>
      </c>
    </row>
    <row r="14" spans="1:14" ht="15.95" customHeight="1" x14ac:dyDescent="0.25">
      <c r="A14" s="2" t="s">
        <v>21</v>
      </c>
      <c r="B14" s="3" t="s">
        <v>22</v>
      </c>
      <c r="C14" s="4">
        <f>9073/53</f>
        <v>171.18867924528303</v>
      </c>
      <c r="D14" s="4">
        <f>3437/24</f>
        <v>143.20833333333334</v>
      </c>
      <c r="E14" s="4" t="s">
        <v>45</v>
      </c>
      <c r="F14" s="4">
        <f>5636/29</f>
        <v>194.34482758620689</v>
      </c>
      <c r="G14" s="4">
        <f>202642/53</f>
        <v>3823.433962264151</v>
      </c>
      <c r="H14" s="4">
        <v>2481</v>
      </c>
      <c r="I14" s="4" t="s">
        <v>45</v>
      </c>
      <c r="J14" s="4">
        <f>143097/29</f>
        <v>4934.3793103448279</v>
      </c>
      <c r="K14" s="26">
        <f>232942/53</f>
        <v>4395.132075471698</v>
      </c>
      <c r="L14" s="26">
        <f>70222/24</f>
        <v>2925.9166666666665</v>
      </c>
      <c r="M14" s="26" t="s">
        <v>45</v>
      </c>
      <c r="N14" s="26">
        <f>162720/29</f>
        <v>5611.0344827586205</v>
      </c>
    </row>
    <row r="15" spans="1:14" ht="15.95" customHeight="1" x14ac:dyDescent="0.25">
      <c r="A15" s="60" t="s">
        <v>23</v>
      </c>
      <c r="B15" s="60"/>
      <c r="C15" s="5">
        <f t="shared" ref="C15:J15" si="0">SUM(C8:C14)</f>
        <v>1697.0160033528541</v>
      </c>
      <c r="D15" s="6">
        <f t="shared" si="0"/>
        <v>1424.282461372477</v>
      </c>
      <c r="E15" s="5">
        <f t="shared" si="0"/>
        <v>1696.1290322580644</v>
      </c>
      <c r="F15" s="5">
        <f t="shared" si="0"/>
        <v>870.37697044334971</v>
      </c>
      <c r="G15" s="5">
        <f t="shared" si="0"/>
        <v>31951.050517417738</v>
      </c>
      <c r="H15" s="5">
        <f t="shared" si="0"/>
        <v>27689.133659529325</v>
      </c>
      <c r="I15" s="5">
        <f t="shared" si="0"/>
        <v>28864.908602150539</v>
      </c>
      <c r="J15" s="5">
        <f t="shared" si="0"/>
        <v>17977.007881773403</v>
      </c>
      <c r="K15" s="20">
        <f>SUM(K8:K14)</f>
        <v>44257.28995764711</v>
      </c>
      <c r="L15" s="20">
        <f>SUM(L8:L14)</f>
        <v>31245.135656036429</v>
      </c>
      <c r="M15" s="20">
        <f>SUM(M8:M14)</f>
        <v>50494.93548387097</v>
      </c>
      <c r="N15" s="20">
        <f>SUM(N8:N14)</f>
        <v>27071.714244663381</v>
      </c>
    </row>
    <row r="16" spans="1:14" ht="15.95" customHeight="1" x14ac:dyDescent="0.25">
      <c r="A16" s="53" t="s">
        <v>46</v>
      </c>
      <c r="B16" s="54"/>
      <c r="C16" s="5">
        <f>C15/7</f>
        <v>242.43085762183631</v>
      </c>
      <c r="D16" s="6">
        <f>D15/7</f>
        <v>203.468923053211</v>
      </c>
      <c r="E16" s="5">
        <f>E15/5</f>
        <v>339.22580645161287</v>
      </c>
      <c r="F16" s="5">
        <f>F15/4</f>
        <v>217.59424261083743</v>
      </c>
      <c r="G16" s="5">
        <f>G15/7</f>
        <v>4564.4357882025342</v>
      </c>
      <c r="H16" s="5">
        <f>H15/7</f>
        <v>3955.5905227899034</v>
      </c>
      <c r="I16" s="5">
        <f>I15/5</f>
        <v>5772.981720430108</v>
      </c>
      <c r="J16" s="5">
        <f>J15/4</f>
        <v>4494.2519704433507</v>
      </c>
      <c r="K16" s="20">
        <f>K15/7</f>
        <v>6322.4699939495868</v>
      </c>
      <c r="L16" s="20">
        <f>L15/7</f>
        <v>4463.5908080052041</v>
      </c>
      <c r="M16" s="20">
        <f>M15/5</f>
        <v>10098.987096774194</v>
      </c>
      <c r="N16" s="20">
        <f>N15/4</f>
        <v>6767.9285611658452</v>
      </c>
    </row>
    <row r="17" spans="1:14" ht="15.95" customHeight="1" x14ac:dyDescent="0.25">
      <c r="A17" s="42" t="s">
        <v>24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4"/>
    </row>
    <row r="18" spans="1:14" ht="15.95" customHeight="1" x14ac:dyDescent="0.25">
      <c r="A18" s="2" t="s">
        <v>9</v>
      </c>
      <c r="B18" s="3" t="s">
        <v>25</v>
      </c>
      <c r="C18" s="4">
        <f>6231/40</f>
        <v>155.77500000000001</v>
      </c>
      <c r="D18" s="4">
        <f>2316/14</f>
        <v>165.42857142857142</v>
      </c>
      <c r="E18" s="4">
        <f>324/2</f>
        <v>162</v>
      </c>
      <c r="F18" s="4">
        <f>3591/24</f>
        <v>149.625</v>
      </c>
      <c r="G18" s="4">
        <f>115772/40</f>
        <v>2894.3</v>
      </c>
      <c r="H18" s="4">
        <f>39441/14</f>
        <v>2817.2142857142858</v>
      </c>
      <c r="I18" s="4">
        <f>5927/2</f>
        <v>2963.5</v>
      </c>
      <c r="J18" s="4">
        <f>70404/24</f>
        <v>2933.5</v>
      </c>
      <c r="K18" s="26">
        <f>171950/40</f>
        <v>4298.75</v>
      </c>
      <c r="L18" s="26">
        <f>49195/14</f>
        <v>3513.9285714285716</v>
      </c>
      <c r="M18" s="26">
        <f>7075/2</f>
        <v>3537.5</v>
      </c>
      <c r="N18" s="26">
        <f>115680/24</f>
        <v>4820</v>
      </c>
    </row>
    <row r="19" spans="1:14" ht="15.95" customHeight="1" x14ac:dyDescent="0.25">
      <c r="A19" s="2" t="s">
        <v>11</v>
      </c>
      <c r="B19" s="3" t="s">
        <v>26</v>
      </c>
      <c r="C19" s="4">
        <f>1997/15</f>
        <v>133.13333333333333</v>
      </c>
      <c r="D19" s="4">
        <f>802/7</f>
        <v>114.57142857142857</v>
      </c>
      <c r="E19" s="4" t="s">
        <v>45</v>
      </c>
      <c r="F19" s="4">
        <f>1195/8</f>
        <v>149.375</v>
      </c>
      <c r="G19" s="4">
        <f>70456/15</f>
        <v>4697.0666666666666</v>
      </c>
      <c r="H19" s="4">
        <f>47060/7</f>
        <v>6722.8571428571431</v>
      </c>
      <c r="I19" s="4" t="s">
        <v>45</v>
      </c>
      <c r="J19" s="4">
        <f>23396/8</f>
        <v>2924.5</v>
      </c>
      <c r="K19" s="26">
        <f>51537/15</f>
        <v>3435.8</v>
      </c>
      <c r="L19" s="26">
        <f>17079/7</f>
        <v>2439.8571428571427</v>
      </c>
      <c r="M19" s="26" t="s">
        <v>45</v>
      </c>
      <c r="N19" s="26">
        <f>34458/8</f>
        <v>4307.25</v>
      </c>
    </row>
    <row r="20" spans="1:14" ht="15.95" customHeight="1" x14ac:dyDescent="0.25">
      <c r="A20" s="2" t="s">
        <v>13</v>
      </c>
      <c r="B20" s="3" t="s">
        <v>27</v>
      </c>
      <c r="C20" s="4">
        <f>5528/37</f>
        <v>149.40540540540542</v>
      </c>
      <c r="D20" s="4">
        <f>1869/14</f>
        <v>133.5</v>
      </c>
      <c r="E20" s="4" t="s">
        <v>45</v>
      </c>
      <c r="F20" s="4">
        <f>3659/23</f>
        <v>159.08695652173913</v>
      </c>
      <c r="G20" s="4">
        <f>92671/37</f>
        <v>2504.6216216216217</v>
      </c>
      <c r="H20" s="4">
        <f>34938/14</f>
        <v>2495.5714285714284</v>
      </c>
      <c r="I20" s="4" t="s">
        <v>45</v>
      </c>
      <c r="J20" s="4">
        <f>57733/23</f>
        <v>2510.1304347826085</v>
      </c>
      <c r="K20" s="26">
        <f>139701/37</f>
        <v>3775.7027027027025</v>
      </c>
      <c r="L20" s="26">
        <f>45186/14</f>
        <v>3227.5714285714284</v>
      </c>
      <c r="M20" s="26" t="s">
        <v>45</v>
      </c>
      <c r="N20" s="26">
        <f>94515/23</f>
        <v>4109.347826086957</v>
      </c>
    </row>
    <row r="21" spans="1:14" ht="15.95" customHeight="1" x14ac:dyDescent="0.25">
      <c r="A21" s="2" t="s">
        <v>15</v>
      </c>
      <c r="B21" s="3" t="s">
        <v>28</v>
      </c>
      <c r="C21" s="4">
        <f>9366/50</f>
        <v>187.32</v>
      </c>
      <c r="D21" s="4">
        <f>3695/21</f>
        <v>175.95238095238096</v>
      </c>
      <c r="E21" s="4">
        <f>879/4</f>
        <v>219.75</v>
      </c>
      <c r="F21" s="4">
        <f>4792/25</f>
        <v>191.68</v>
      </c>
      <c r="G21" s="4">
        <f>143919/50</f>
        <v>2878.38</v>
      </c>
      <c r="H21" s="4">
        <f>52832/21</f>
        <v>2515.8095238095239</v>
      </c>
      <c r="I21" s="4">
        <f>11278/4</f>
        <v>2819.5</v>
      </c>
      <c r="J21" s="4">
        <f>79809/25</f>
        <v>3192.36</v>
      </c>
      <c r="K21" s="26">
        <f>181726/50</f>
        <v>3634.52</v>
      </c>
      <c r="L21" s="26">
        <f>72759/21</f>
        <v>3464.7142857142858</v>
      </c>
      <c r="M21" s="26">
        <f>14192/4</f>
        <v>3548</v>
      </c>
      <c r="N21" s="26">
        <f>94775/25</f>
        <v>3791</v>
      </c>
    </row>
    <row r="22" spans="1:14" ht="15.95" customHeight="1" x14ac:dyDescent="0.25">
      <c r="A22" s="60" t="s">
        <v>23</v>
      </c>
      <c r="B22" s="60"/>
      <c r="C22" s="5">
        <f t="shared" ref="C22:J22" si="1">SUM(C18:C21)</f>
        <v>625.63373873873866</v>
      </c>
      <c r="D22" s="5">
        <f t="shared" si="1"/>
        <v>589.45238095238096</v>
      </c>
      <c r="E22" s="5">
        <f t="shared" si="1"/>
        <v>381.75</v>
      </c>
      <c r="F22" s="5">
        <f t="shared" si="1"/>
        <v>649.76695652173908</v>
      </c>
      <c r="G22" s="5">
        <f t="shared" si="1"/>
        <v>12974.368288288289</v>
      </c>
      <c r="H22" s="5">
        <f t="shared" si="1"/>
        <v>14551.452380952382</v>
      </c>
      <c r="I22" s="5">
        <f t="shared" si="1"/>
        <v>5783</v>
      </c>
      <c r="J22" s="5">
        <f t="shared" si="1"/>
        <v>11560.490434782609</v>
      </c>
      <c r="K22" s="20">
        <f>SUM(K18:K21)</f>
        <v>15144.772702702703</v>
      </c>
      <c r="L22" s="20">
        <f>SUM(L18:L21)</f>
        <v>12646.071428571428</v>
      </c>
      <c r="M22" s="20">
        <f>SUM(M18:M21)</f>
        <v>7085.5</v>
      </c>
      <c r="N22" s="20">
        <f>SUM(N18:N21)</f>
        <v>17027.597826086956</v>
      </c>
    </row>
    <row r="23" spans="1:14" ht="15.95" customHeight="1" x14ac:dyDescent="0.25">
      <c r="A23" s="53" t="s">
        <v>46</v>
      </c>
      <c r="B23" s="54"/>
      <c r="C23" s="5">
        <f>C22/4</f>
        <v>156.40843468468466</v>
      </c>
      <c r="D23" s="5">
        <f>D22/4</f>
        <v>147.36309523809524</v>
      </c>
      <c r="E23" s="5">
        <f>E22/2</f>
        <v>190.875</v>
      </c>
      <c r="F23" s="5">
        <f>F22/4</f>
        <v>162.44173913043477</v>
      </c>
      <c r="G23" s="5">
        <f>G22/4</f>
        <v>3243.5920720720724</v>
      </c>
      <c r="H23" s="5">
        <f>H22/4</f>
        <v>3637.8630952380954</v>
      </c>
      <c r="I23" s="5">
        <f>I22/2</f>
        <v>2891.5</v>
      </c>
      <c r="J23" s="5">
        <f>J22/4</f>
        <v>2890.1226086956522</v>
      </c>
      <c r="K23" s="20">
        <f>K22/4</f>
        <v>3786.1931756756758</v>
      </c>
      <c r="L23" s="20">
        <f>L22/4</f>
        <v>3161.5178571428569</v>
      </c>
      <c r="M23" s="20">
        <f>M22/2</f>
        <v>3542.75</v>
      </c>
      <c r="N23" s="20">
        <f>N22/4</f>
        <v>4256.899456521739</v>
      </c>
    </row>
    <row r="24" spans="1:14" ht="28.5" customHeight="1" x14ac:dyDescent="0.25">
      <c r="A24" s="55" t="s">
        <v>29</v>
      </c>
      <c r="B24" s="55"/>
      <c r="C24" s="21">
        <f t="shared" ref="C24:J24" si="2">SUM(C15,C22)</f>
        <v>2322.649742091593</v>
      </c>
      <c r="D24" s="21">
        <f t="shared" si="2"/>
        <v>2013.7348423248579</v>
      </c>
      <c r="E24" s="21">
        <f t="shared" si="2"/>
        <v>2077.8790322580644</v>
      </c>
      <c r="F24" s="21">
        <f t="shared" si="2"/>
        <v>1520.1439269650887</v>
      </c>
      <c r="G24" s="22">
        <f t="shared" si="2"/>
        <v>44925.418805706024</v>
      </c>
      <c r="H24" s="22">
        <f t="shared" si="2"/>
        <v>42240.586040481707</v>
      </c>
      <c r="I24" s="22">
        <f t="shared" si="2"/>
        <v>34647.908602150535</v>
      </c>
      <c r="J24" s="22">
        <f t="shared" si="2"/>
        <v>29537.498316556012</v>
      </c>
      <c r="K24" s="23">
        <f>SUM(K15,K22)</f>
        <v>59402.062660349809</v>
      </c>
      <c r="L24" s="23">
        <f>SUM(L15,L22)</f>
        <v>43891.207084607857</v>
      </c>
      <c r="M24" s="23">
        <f>SUM(M15,M22)</f>
        <v>57580.43548387097</v>
      </c>
      <c r="N24" s="23">
        <f>SUM(N15,N22)</f>
        <v>44099.31207075034</v>
      </c>
    </row>
    <row r="25" spans="1:14" ht="30" customHeight="1" x14ac:dyDescent="0.25">
      <c r="A25" s="55" t="s">
        <v>30</v>
      </c>
      <c r="B25" s="55"/>
      <c r="C25" s="21">
        <f>C24/11</f>
        <v>211.14997655378119</v>
      </c>
      <c r="D25" s="21">
        <f>D24/11</f>
        <v>183.06680384771437</v>
      </c>
      <c r="E25" s="21">
        <f>E24/7</f>
        <v>296.83986175115206</v>
      </c>
      <c r="F25" s="21">
        <f>F24/8</f>
        <v>190.01799087063608</v>
      </c>
      <c r="G25" s="21">
        <f>G24/11</f>
        <v>4084.1289823369111</v>
      </c>
      <c r="H25" s="21">
        <f>H24/11</f>
        <v>3840.0532764074278</v>
      </c>
      <c r="I25" s="22">
        <f>I24/7</f>
        <v>4949.7012288786482</v>
      </c>
      <c r="J25" s="22">
        <f>J24/8</f>
        <v>3692.1872895695014</v>
      </c>
      <c r="K25" s="23">
        <f>K24/11</f>
        <v>5400.1875145772556</v>
      </c>
      <c r="L25" s="23">
        <f>L24/11</f>
        <v>3990.1097349643505</v>
      </c>
      <c r="M25" s="23">
        <f>M24/7</f>
        <v>8225.7764976958533</v>
      </c>
      <c r="N25" s="23">
        <f>N24/8</f>
        <v>5512.4140088437925</v>
      </c>
    </row>
    <row r="27" spans="1:14" ht="15" customHeight="1" x14ac:dyDescent="0.25">
      <c r="C27" s="27"/>
    </row>
  </sheetData>
  <mergeCells count="14">
    <mergeCell ref="A2:N2"/>
    <mergeCell ref="A25:B25"/>
    <mergeCell ref="C4:F5"/>
    <mergeCell ref="G4:J5"/>
    <mergeCell ref="K4:N5"/>
    <mergeCell ref="A7:N7"/>
    <mergeCell ref="A15:B15"/>
    <mergeCell ref="A17:N17"/>
    <mergeCell ref="A22:B22"/>
    <mergeCell ref="A24:B24"/>
    <mergeCell ref="A4:A6"/>
    <mergeCell ref="B4:B6"/>
    <mergeCell ref="A23:B23"/>
    <mergeCell ref="A16:B16"/>
  </mergeCells>
  <pageMargins left="0.70000000000000007" right="0.70000000000000007" top="0.75" bottom="0.75" header="0.30000000000000004" footer="0.30000000000000004"/>
  <pageSetup orientation="portrait" verticalDpi="0" r:id="rId1"/>
  <ignoredErrors>
    <ignoredError sqref="E23 I23 M23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4.1. Personalas</vt:lpstr>
      <vt:lpstr>4.2. Išsilavinimas</vt:lpstr>
      <vt:lpstr>4.3. Veiklos efektyvumas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Levokaitė</dc:creator>
  <cp:lastModifiedBy>Živilė Levokaitė</cp:lastModifiedBy>
  <dcterms:created xsi:type="dcterms:W3CDTF">2020-05-06T11:13:30Z</dcterms:created>
  <dcterms:modified xsi:type="dcterms:W3CDTF">2020-07-02T11:32:08Z</dcterms:modified>
</cp:coreProperties>
</file>