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zivile\Desktop\REGIONO ataskaita\2020\"/>
    </mc:Choice>
  </mc:AlternateContent>
  <bookViews>
    <workbookView xWindow="0" yWindow="0" windowWidth="28800" windowHeight="11700" firstSheet="6" activeTab="7"/>
  </bookViews>
  <sheets>
    <sheet name="3.1. Vartotojų telkimas" sheetId="1" r:id="rId1"/>
    <sheet name="3.2. Vartotojų skaičius" sheetId="2" r:id="rId2"/>
    <sheet name="3.2.1. Vaikų skaičius" sheetId="3" r:id="rId3"/>
    <sheet name="3.3. Lankytojų skaičius" sheetId="4" r:id="rId4"/>
    <sheet name="3.3.1. Lankytojų vaikų skaičius" sheetId="5" r:id="rId5"/>
    <sheet name="3.4. Dokumentų išduotis" sheetId="6" r:id="rId6"/>
    <sheet name="3.5. Grož. ir šakin. išduotis" sheetId="7" r:id="rId7"/>
    <sheet name="3.6. Periodin. išduotis" sheetId="8" r:id="rId8"/>
    <sheet name="3.7. Išduotis vietoje ir į nam." sheetId="9" r:id="rId9"/>
    <sheet name="3.8. Skaitomumas ir lankomumas" sheetId="10" r:id="rId10"/>
    <sheet name="3.9. Vaikų skaitomumas" sheetId="11" r:id="rId11"/>
    <sheet name="3.10. Darbo vietos" sheetId="15" r:id="rId12"/>
    <sheet name="3.11. Užklausos" sheetId="13" r:id="rId13"/>
    <sheet name="3.12. Renginiai" sheetId="14" r:id="rId14"/>
    <sheet name="3.13. El. paslaugos" sheetId="12" r:id="rId15"/>
  </sheets>
  <calcPr calcId="162913"/>
</workbook>
</file>

<file path=xl/calcChain.xml><?xml version="1.0" encoding="utf-8"?>
<calcChain xmlns="http://schemas.openxmlformats.org/spreadsheetml/2006/main">
  <c r="F21" i="14" l="1"/>
  <c r="F20" i="14"/>
  <c r="F19" i="14"/>
  <c r="F18" i="14"/>
  <c r="F14" i="14"/>
  <c r="F13" i="14"/>
  <c r="F12" i="14"/>
  <c r="F11" i="14"/>
  <c r="F10" i="14"/>
  <c r="F9" i="14"/>
  <c r="F8" i="14"/>
  <c r="R21" i="14"/>
  <c r="R20" i="14"/>
  <c r="R19" i="14"/>
  <c r="R18" i="14"/>
  <c r="R14" i="14"/>
  <c r="R13" i="14"/>
  <c r="R10" i="14"/>
  <c r="R9" i="14"/>
  <c r="N21" i="14"/>
  <c r="N13" i="14"/>
  <c r="N11" i="14"/>
  <c r="N10" i="14"/>
  <c r="N9" i="14"/>
  <c r="N8" i="14"/>
  <c r="J8" i="14"/>
  <c r="M8" i="14"/>
  <c r="M9" i="14"/>
  <c r="J22" i="8" l="1"/>
  <c r="J15" i="8"/>
  <c r="F22" i="8"/>
  <c r="D22" i="8"/>
  <c r="R20" i="7"/>
  <c r="P21" i="7"/>
  <c r="N20" i="7"/>
  <c r="L20" i="7"/>
  <c r="J20" i="7"/>
  <c r="F20" i="7"/>
  <c r="D20" i="7"/>
  <c r="D21" i="7"/>
  <c r="D9" i="7"/>
  <c r="M8" i="13" l="1"/>
  <c r="E21" i="13" l="1"/>
  <c r="E18" i="13"/>
  <c r="G12" i="15" l="1"/>
  <c r="G9" i="15"/>
  <c r="G10" i="15"/>
  <c r="I8" i="11"/>
  <c r="D8" i="11"/>
  <c r="J10" i="11"/>
  <c r="D10" i="10"/>
  <c r="P21" i="3" l="1"/>
  <c r="D22" i="3"/>
  <c r="I8" i="1" l="1"/>
  <c r="L8" i="1"/>
  <c r="I21" i="1" l="1"/>
  <c r="D12" i="7" l="1"/>
  <c r="E14" i="8"/>
  <c r="M12" i="7"/>
  <c r="E12" i="7"/>
  <c r="J23" i="8" l="1"/>
  <c r="H23" i="8"/>
  <c r="F23" i="8"/>
  <c r="D23" i="8"/>
  <c r="J21" i="8"/>
  <c r="F21" i="8"/>
  <c r="D21" i="8"/>
  <c r="R21" i="7"/>
  <c r="N21" i="7"/>
  <c r="L21" i="7"/>
  <c r="J21" i="7"/>
  <c r="H21" i="7"/>
  <c r="F21" i="7"/>
  <c r="N19" i="7"/>
  <c r="L19" i="7"/>
  <c r="R19" i="7"/>
  <c r="J19" i="7"/>
  <c r="F19" i="7"/>
  <c r="D19" i="7"/>
  <c r="J20" i="8" l="1"/>
  <c r="H20" i="8"/>
  <c r="F20" i="8"/>
  <c r="D20" i="8"/>
  <c r="P18" i="7"/>
  <c r="N18" i="7"/>
  <c r="L18" i="7"/>
  <c r="R18" i="7"/>
  <c r="J18" i="7"/>
  <c r="H18" i="7"/>
  <c r="F18" i="7"/>
  <c r="D18" i="7"/>
  <c r="J14" i="7"/>
  <c r="J13" i="7"/>
  <c r="J16" i="8"/>
  <c r="J11" i="8"/>
  <c r="J12" i="8"/>
  <c r="L14" i="7"/>
  <c r="L13" i="7"/>
  <c r="L12" i="7"/>
  <c r="L11" i="7"/>
  <c r="L10" i="7"/>
  <c r="L9" i="7"/>
  <c r="L8" i="7"/>
  <c r="N14" i="7"/>
  <c r="N13" i="7"/>
  <c r="N12" i="7"/>
  <c r="N11" i="7"/>
  <c r="N10" i="7"/>
  <c r="N9" i="7"/>
  <c r="N8" i="7"/>
  <c r="R14" i="7"/>
  <c r="R13" i="7"/>
  <c r="R10" i="7"/>
  <c r="R9" i="7"/>
  <c r="P13" i="7"/>
  <c r="P11" i="7"/>
  <c r="P10" i="7"/>
  <c r="P9" i="7"/>
  <c r="P8" i="7"/>
  <c r="J10" i="7"/>
  <c r="J9" i="7"/>
  <c r="H15" i="8"/>
  <c r="H13" i="7"/>
  <c r="H13" i="8"/>
  <c r="H11" i="7"/>
  <c r="H12" i="8"/>
  <c r="H10" i="7"/>
  <c r="H11" i="8"/>
  <c r="H9" i="7"/>
  <c r="H10" i="8"/>
  <c r="H8" i="7"/>
  <c r="F10" i="7"/>
  <c r="F11" i="7"/>
  <c r="F14" i="7"/>
  <c r="F16" i="8"/>
  <c r="F15" i="8"/>
  <c r="F14" i="8"/>
  <c r="F12" i="7"/>
  <c r="F13" i="8"/>
  <c r="F12" i="8"/>
  <c r="F11" i="8"/>
  <c r="F8" i="7"/>
  <c r="F10" i="8"/>
  <c r="D14" i="8"/>
  <c r="D10" i="8"/>
  <c r="D8" i="7"/>
  <c r="D11" i="8"/>
  <c r="D12" i="8"/>
  <c r="D13" i="8"/>
  <c r="D16" i="8"/>
  <c r="D15" i="8"/>
  <c r="D11" i="7"/>
  <c r="F13" i="7"/>
  <c r="F9" i="7"/>
  <c r="D14" i="7"/>
  <c r="D13" i="7"/>
  <c r="D10" i="7"/>
  <c r="R21" i="12" l="1"/>
  <c r="R22" i="12" s="1"/>
  <c r="R14" i="12"/>
  <c r="Q14" i="12"/>
  <c r="Q23" i="12" s="1"/>
  <c r="Q24" i="12" s="1"/>
  <c r="E7" i="12"/>
  <c r="R23" i="12" l="1"/>
  <c r="R24" i="12" s="1"/>
  <c r="R15" i="12"/>
  <c r="R21" i="13"/>
  <c r="R20" i="13"/>
  <c r="R19" i="13"/>
  <c r="R18" i="13"/>
  <c r="R14" i="13"/>
  <c r="R13" i="13"/>
  <c r="R10" i="13"/>
  <c r="R9" i="13"/>
  <c r="N21" i="13"/>
  <c r="N18" i="13"/>
  <c r="N13" i="13"/>
  <c r="N11" i="13"/>
  <c r="N10" i="13"/>
  <c r="N9" i="13"/>
  <c r="N8" i="13"/>
  <c r="J21" i="13"/>
  <c r="J20" i="13"/>
  <c r="J19" i="13"/>
  <c r="J18" i="13"/>
  <c r="J14" i="13"/>
  <c r="J13" i="13"/>
  <c r="J12" i="13"/>
  <c r="J11" i="13"/>
  <c r="J10" i="13"/>
  <c r="J9" i="13"/>
  <c r="J8" i="13"/>
  <c r="F21" i="13"/>
  <c r="F20" i="13"/>
  <c r="F19" i="13"/>
  <c r="F18" i="13"/>
  <c r="F14" i="13"/>
  <c r="F13" i="13"/>
  <c r="F12" i="13"/>
  <c r="F11" i="13"/>
  <c r="F10" i="13"/>
  <c r="F9" i="13"/>
  <c r="F8" i="13"/>
  <c r="N18" i="14" l="1"/>
  <c r="J21" i="14"/>
  <c r="J20" i="14"/>
  <c r="J19" i="14"/>
  <c r="J18" i="14"/>
  <c r="J14" i="14"/>
  <c r="J13" i="14"/>
  <c r="J12" i="14"/>
  <c r="J11" i="14"/>
  <c r="J10" i="14"/>
  <c r="J9" i="14"/>
  <c r="L8" i="13" l="1"/>
  <c r="K8" i="13"/>
  <c r="V20" i="15" l="1"/>
  <c r="V19" i="15"/>
  <c r="V15" i="15"/>
  <c r="V14" i="15"/>
  <c r="V10" i="15"/>
  <c r="O9" i="15"/>
  <c r="P9" i="15"/>
  <c r="N9" i="15"/>
  <c r="Q9" i="15" s="1"/>
  <c r="M9" i="15"/>
  <c r="Q10" i="15"/>
  <c r="L22" i="15"/>
  <c r="L21" i="15"/>
  <c r="L15" i="15"/>
  <c r="L14" i="15"/>
  <c r="L13" i="15"/>
  <c r="L12" i="15"/>
  <c r="L10" i="15"/>
  <c r="L9" i="15"/>
  <c r="G21" i="15"/>
  <c r="G22" i="15"/>
  <c r="G20" i="15"/>
  <c r="G19" i="15"/>
  <c r="G15" i="15"/>
  <c r="G13" i="15"/>
  <c r="F21" i="11"/>
  <c r="F20" i="11"/>
  <c r="F19" i="11"/>
  <c r="F18" i="11"/>
  <c r="F14" i="11"/>
  <c r="F13" i="11"/>
  <c r="F10" i="11"/>
  <c r="F9" i="11"/>
  <c r="E21" i="11"/>
  <c r="E18" i="11"/>
  <c r="E13" i="11"/>
  <c r="E11" i="11"/>
  <c r="E10" i="11"/>
  <c r="E9" i="11"/>
  <c r="E8" i="11"/>
  <c r="D21" i="11"/>
  <c r="D20" i="11"/>
  <c r="D19" i="11"/>
  <c r="D18" i="11"/>
  <c r="D14" i="11"/>
  <c r="D13" i="11"/>
  <c r="D12" i="11"/>
  <c r="D11" i="11"/>
  <c r="D10" i="11"/>
  <c r="D9" i="11"/>
  <c r="C21" i="11"/>
  <c r="C20" i="11"/>
  <c r="C19" i="11"/>
  <c r="C18" i="11"/>
  <c r="C14" i="11"/>
  <c r="C13" i="11"/>
  <c r="C12" i="11"/>
  <c r="C11" i="11"/>
  <c r="C10" i="11"/>
  <c r="C9" i="11"/>
  <c r="C8" i="11"/>
  <c r="J21" i="11"/>
  <c r="J20" i="11"/>
  <c r="J19" i="11"/>
  <c r="J18" i="11"/>
  <c r="J14" i="11"/>
  <c r="J13" i="11"/>
  <c r="J9" i="11"/>
  <c r="I21" i="11"/>
  <c r="I18" i="11"/>
  <c r="I13" i="11"/>
  <c r="I11" i="11"/>
  <c r="I10" i="11"/>
  <c r="I9" i="11"/>
  <c r="H21" i="11"/>
  <c r="H20" i="11"/>
  <c r="H19" i="11"/>
  <c r="H18" i="11"/>
  <c r="H14" i="11"/>
  <c r="H13" i="11"/>
  <c r="H12" i="11"/>
  <c r="H11" i="11"/>
  <c r="H10" i="11"/>
  <c r="H9" i="11"/>
  <c r="H8" i="11"/>
  <c r="G21" i="11"/>
  <c r="G20" i="11"/>
  <c r="G19" i="11"/>
  <c r="G18" i="11"/>
  <c r="G14" i="11"/>
  <c r="G13" i="11"/>
  <c r="G12" i="11"/>
  <c r="G11" i="11"/>
  <c r="G10" i="11"/>
  <c r="G9" i="11"/>
  <c r="G8" i="11"/>
  <c r="Q21" i="14" l="1"/>
  <c r="E8" i="14"/>
  <c r="E21" i="14"/>
  <c r="E18" i="14"/>
  <c r="K8" i="14" l="1"/>
  <c r="L8" i="14"/>
  <c r="J21" i="10"/>
  <c r="J20" i="10"/>
  <c r="J19" i="10"/>
  <c r="J18" i="10"/>
  <c r="J14" i="10"/>
  <c r="J13" i="10"/>
  <c r="J10" i="10"/>
  <c r="J9" i="10"/>
  <c r="I21" i="10"/>
  <c r="I18" i="10"/>
  <c r="I13" i="10"/>
  <c r="I11" i="10"/>
  <c r="I10" i="10"/>
  <c r="I9" i="10"/>
  <c r="I8" i="10"/>
  <c r="H21" i="10"/>
  <c r="H20" i="10"/>
  <c r="H19" i="10"/>
  <c r="H18" i="10"/>
  <c r="H14" i="10"/>
  <c r="H13" i="10"/>
  <c r="H12" i="10"/>
  <c r="H11" i="10"/>
  <c r="H10" i="10"/>
  <c r="H9" i="10"/>
  <c r="H8" i="10"/>
  <c r="G21" i="10"/>
  <c r="G20" i="10"/>
  <c r="G19" i="10"/>
  <c r="G18" i="10"/>
  <c r="G14" i="10"/>
  <c r="G13" i="10"/>
  <c r="G12" i="10"/>
  <c r="G11" i="10"/>
  <c r="G10" i="10"/>
  <c r="G9" i="10"/>
  <c r="G8" i="10"/>
  <c r="C8" i="10"/>
  <c r="F21" i="10"/>
  <c r="F20" i="10"/>
  <c r="F19" i="10"/>
  <c r="F18" i="10"/>
  <c r="F14" i="10"/>
  <c r="F13" i="10"/>
  <c r="F10" i="10"/>
  <c r="F9" i="10"/>
  <c r="E21" i="10"/>
  <c r="E18" i="10"/>
  <c r="E13" i="10"/>
  <c r="E11" i="10"/>
  <c r="E10" i="10"/>
  <c r="E9" i="10"/>
  <c r="E8" i="10"/>
  <c r="D21" i="10"/>
  <c r="D20" i="10"/>
  <c r="D19" i="10"/>
  <c r="D18" i="10"/>
  <c r="D14" i="10"/>
  <c r="D13" i="10"/>
  <c r="D12" i="10"/>
  <c r="D11" i="10"/>
  <c r="D9" i="10"/>
  <c r="D8" i="10"/>
  <c r="C21" i="10"/>
  <c r="C20" i="10"/>
  <c r="C19" i="10"/>
  <c r="C18" i="10"/>
  <c r="C14" i="10"/>
  <c r="C13" i="10"/>
  <c r="C12" i="10"/>
  <c r="C11" i="10"/>
  <c r="C10" i="10"/>
  <c r="C9" i="10"/>
  <c r="I8" i="9" l="1"/>
  <c r="E8" i="9"/>
  <c r="I7" i="6"/>
  <c r="J7" i="6"/>
  <c r="I8" i="5"/>
  <c r="J8" i="5"/>
  <c r="D8" i="5"/>
  <c r="L8" i="4"/>
  <c r="M8" i="4"/>
  <c r="P22" i="3" l="1"/>
  <c r="P20" i="3"/>
  <c r="P19" i="3"/>
  <c r="P15" i="3"/>
  <c r="P14" i="3"/>
  <c r="P11" i="3"/>
  <c r="P10" i="3"/>
  <c r="L22" i="3"/>
  <c r="L19" i="3"/>
  <c r="L14" i="3"/>
  <c r="L12" i="3"/>
  <c r="L11" i="3"/>
  <c r="L10" i="3"/>
  <c r="L9" i="3"/>
  <c r="H22" i="3"/>
  <c r="H21" i="3"/>
  <c r="H20" i="3"/>
  <c r="H19" i="3"/>
  <c r="H15" i="3"/>
  <c r="H14" i="3"/>
  <c r="H13" i="3"/>
  <c r="H12" i="3"/>
  <c r="H11" i="3"/>
  <c r="H10" i="3"/>
  <c r="H9" i="3"/>
  <c r="D21" i="3"/>
  <c r="D20" i="3"/>
  <c r="D19" i="3"/>
  <c r="D15" i="3"/>
  <c r="D14" i="3"/>
  <c r="D13" i="3"/>
  <c r="D12" i="3"/>
  <c r="D11" i="3"/>
  <c r="D10" i="3"/>
  <c r="D9" i="3"/>
  <c r="O21" i="1" l="1"/>
  <c r="O18" i="1"/>
  <c r="O14" i="1"/>
  <c r="O13" i="1"/>
  <c r="O10" i="1"/>
  <c r="O9" i="1"/>
  <c r="O20" i="1"/>
  <c r="O19" i="1"/>
  <c r="O12" i="1"/>
  <c r="O11" i="1"/>
  <c r="O8" i="1"/>
  <c r="N21" i="1"/>
  <c r="N20" i="1"/>
  <c r="N19" i="1"/>
  <c r="N18" i="1"/>
  <c r="N14" i="1"/>
  <c r="N13" i="1"/>
  <c r="N12" i="1"/>
  <c r="N11" i="1"/>
  <c r="N10" i="1"/>
  <c r="N9" i="1"/>
  <c r="N8" i="1"/>
  <c r="K21" i="1"/>
  <c r="K18" i="1"/>
  <c r="J21" i="1" l="1"/>
  <c r="J20" i="1"/>
  <c r="J19" i="1"/>
  <c r="J18" i="1"/>
  <c r="J14" i="1"/>
  <c r="J13" i="1"/>
  <c r="J10" i="1"/>
  <c r="J9" i="1"/>
  <c r="I18" i="1"/>
  <c r="I11" i="1"/>
  <c r="I10" i="1"/>
  <c r="I9" i="1"/>
  <c r="H21" i="1"/>
  <c r="H20" i="1"/>
  <c r="H19" i="1"/>
  <c r="H18" i="1"/>
  <c r="H14" i="1"/>
  <c r="H13" i="1"/>
  <c r="H12" i="1"/>
  <c r="H11" i="1"/>
  <c r="H10" i="1"/>
  <c r="H9" i="1"/>
  <c r="H8" i="1"/>
  <c r="G21" i="1"/>
  <c r="G20" i="1"/>
  <c r="G19" i="1"/>
  <c r="G18" i="1"/>
  <c r="G14" i="1"/>
  <c r="G13" i="1"/>
  <c r="G12" i="1"/>
  <c r="G11" i="1"/>
  <c r="G10" i="1"/>
  <c r="G9" i="1"/>
  <c r="G8" i="1"/>
  <c r="O23" i="3"/>
  <c r="O8" i="2"/>
  <c r="M8" i="2"/>
  <c r="N8" i="2"/>
  <c r="M9" i="3"/>
  <c r="P8" i="2"/>
  <c r="E21" i="1"/>
  <c r="E11" i="1" l="1"/>
  <c r="Q26" i="15" l="1"/>
  <c r="Q22" i="7" l="1"/>
  <c r="Q23" i="7" s="1"/>
  <c r="P22" i="7"/>
  <c r="P23" i="7" s="1"/>
  <c r="O22" i="7"/>
  <c r="O23" i="7" s="1"/>
  <c r="M22" i="7"/>
  <c r="K22" i="7"/>
  <c r="K23" i="7" s="1"/>
  <c r="I22" i="7"/>
  <c r="I23" i="7" s="1"/>
  <c r="H22" i="7"/>
  <c r="H23" i="7" s="1"/>
  <c r="Q15" i="7"/>
  <c r="Q16" i="7" s="1"/>
  <c r="O15" i="7"/>
  <c r="O16" i="7" s="1"/>
  <c r="M15" i="7"/>
  <c r="M16" i="7" s="1"/>
  <c r="K15" i="7"/>
  <c r="K16" i="7" s="1"/>
  <c r="I15" i="7"/>
  <c r="I16" i="7" s="1"/>
  <c r="Q24" i="7" l="1"/>
  <c r="Q25" i="7" s="1"/>
  <c r="O24" i="7"/>
  <c r="O25" i="7" s="1"/>
  <c r="M24" i="7"/>
  <c r="M25" i="7" s="1"/>
  <c r="K24" i="7"/>
  <c r="K25" i="7" s="1"/>
  <c r="M23" i="7"/>
  <c r="R15" i="7"/>
  <c r="R16" i="7" s="1"/>
  <c r="P15" i="7"/>
  <c r="N15" i="7"/>
  <c r="L15" i="7"/>
  <c r="J15" i="7"/>
  <c r="J16" i="7" s="1"/>
  <c r="H15" i="7"/>
  <c r="L16" i="7" l="1"/>
  <c r="P24" i="7"/>
  <c r="P25" i="7" s="1"/>
  <c r="P16" i="7"/>
  <c r="N16" i="7"/>
  <c r="H24" i="7"/>
  <c r="H25" i="7" s="1"/>
  <c r="H16" i="7"/>
  <c r="G22" i="7"/>
  <c r="G23" i="7" s="1"/>
  <c r="G15" i="7"/>
  <c r="E15" i="7"/>
  <c r="E16" i="7" s="1"/>
  <c r="E22" i="7"/>
  <c r="E23" i="7" s="1"/>
  <c r="D22" i="7"/>
  <c r="D23" i="7" s="1"/>
  <c r="D15" i="7"/>
  <c r="D16" i="7" s="1"/>
  <c r="C22" i="7"/>
  <c r="C23" i="7" s="1"/>
  <c r="C15" i="7"/>
  <c r="C16" i="7" s="1"/>
  <c r="H26" i="8"/>
  <c r="H27" i="8" s="1"/>
  <c r="I24" i="8"/>
  <c r="I25" i="8" s="1"/>
  <c r="H24" i="8"/>
  <c r="H25" i="8" s="1"/>
  <c r="G24" i="8"/>
  <c r="G25" i="8" s="1"/>
  <c r="E24" i="8"/>
  <c r="E25" i="8" s="1"/>
  <c r="C24" i="8"/>
  <c r="C25" i="8" s="1"/>
  <c r="J17" i="8"/>
  <c r="J18" i="8" s="1"/>
  <c r="I17" i="8"/>
  <c r="I18" i="8" s="1"/>
  <c r="H17" i="8"/>
  <c r="H18" i="8" s="1"/>
  <c r="G17" i="8"/>
  <c r="F17" i="8"/>
  <c r="F18" i="8" s="1"/>
  <c r="E17" i="8"/>
  <c r="D17" i="8"/>
  <c r="D18" i="8" s="1"/>
  <c r="C17" i="8"/>
  <c r="C18" i="8" s="1"/>
  <c r="G26" i="8" l="1"/>
  <c r="G27" i="8" s="1"/>
  <c r="G18" i="8"/>
  <c r="E26" i="8"/>
  <c r="E27" i="8" s="1"/>
  <c r="D26" i="8"/>
  <c r="D27" i="8" s="1"/>
  <c r="E18" i="8"/>
  <c r="G24" i="7"/>
  <c r="G25" i="7" s="1"/>
  <c r="G16" i="7"/>
  <c r="I26" i="8"/>
  <c r="I27" i="8" s="1"/>
  <c r="D24" i="7"/>
  <c r="D25" i="7" s="1"/>
  <c r="E24" i="7"/>
  <c r="E25" i="7" s="1"/>
  <c r="C24" i="7"/>
  <c r="C25" i="7" s="1"/>
  <c r="C26" i="8"/>
  <c r="C27" i="8" s="1"/>
  <c r="D24" i="8"/>
  <c r="D25" i="8" s="1"/>
  <c r="F24" i="8"/>
  <c r="F25" i="8" s="1"/>
  <c r="J24" i="8"/>
  <c r="J25" i="8" s="1"/>
  <c r="R22" i="7"/>
  <c r="N22" i="7"/>
  <c r="L22" i="7"/>
  <c r="J22" i="7"/>
  <c r="F22" i="7"/>
  <c r="F23" i="7" s="1"/>
  <c r="J26" i="8" l="1"/>
  <c r="J27" i="8" s="1"/>
  <c r="F26" i="8"/>
  <c r="F27" i="8" s="1"/>
  <c r="J23" i="7"/>
  <c r="J24" i="7"/>
  <c r="J25" i="7" s="1"/>
  <c r="I24" i="7"/>
  <c r="I25" i="7" s="1"/>
  <c r="L23" i="7"/>
  <c r="L24" i="7"/>
  <c r="L25" i="7" s="1"/>
  <c r="R23" i="7"/>
  <c r="R24" i="7"/>
  <c r="R25" i="7" s="1"/>
  <c r="N23" i="7"/>
  <c r="N24" i="7"/>
  <c r="N25" i="7" s="1"/>
  <c r="Q19" i="14" l="1"/>
  <c r="Q20" i="14"/>
  <c r="Q18" i="14"/>
  <c r="Q14" i="14"/>
  <c r="Q13" i="14"/>
  <c r="Q10" i="14"/>
  <c r="Q9" i="14"/>
  <c r="M21" i="14"/>
  <c r="M18" i="14"/>
  <c r="M13" i="14"/>
  <c r="M11" i="14"/>
  <c r="M10" i="14"/>
  <c r="I22" i="14"/>
  <c r="I23" i="14" s="1"/>
  <c r="I15" i="14"/>
  <c r="I16" i="14" s="1"/>
  <c r="E20" i="14"/>
  <c r="E19" i="14"/>
  <c r="E14" i="14"/>
  <c r="E13" i="14"/>
  <c r="E12" i="14"/>
  <c r="E11" i="14"/>
  <c r="E10" i="14"/>
  <c r="E9" i="14"/>
  <c r="J22" i="14" l="1"/>
  <c r="J23" i="14" s="1"/>
  <c r="J15" i="14"/>
  <c r="J16" i="14" s="1"/>
  <c r="Q22" i="14"/>
  <c r="Q23" i="14" s="1"/>
  <c r="R22" i="14"/>
  <c r="R23" i="14" s="1"/>
  <c r="Q15" i="14"/>
  <c r="R15" i="14"/>
  <c r="N22" i="14"/>
  <c r="N23" i="14" s="1"/>
  <c r="M22" i="14"/>
  <c r="M23" i="14" s="1"/>
  <c r="N15" i="14"/>
  <c r="F22" i="14"/>
  <c r="F23" i="14" s="1"/>
  <c r="F15" i="14"/>
  <c r="M15" i="14"/>
  <c r="M16" i="14" s="1"/>
  <c r="E15" i="14"/>
  <c r="E16" i="14" s="1"/>
  <c r="Q16" i="14"/>
  <c r="Q24" i="14"/>
  <c r="Q25" i="14" s="1"/>
  <c r="E22" i="14"/>
  <c r="E23" i="14" s="1"/>
  <c r="I24" i="14"/>
  <c r="I25" i="14" s="1"/>
  <c r="J24" i="14" l="1"/>
  <c r="J25" i="14" s="1"/>
  <c r="F24" i="14"/>
  <c r="F25" i="14" s="1"/>
  <c r="R16" i="14"/>
  <c r="R24" i="14"/>
  <c r="R25" i="14" s="1"/>
  <c r="N16" i="14"/>
  <c r="N24" i="14"/>
  <c r="N25" i="14" s="1"/>
  <c r="M24" i="14"/>
  <c r="M25" i="14" s="1"/>
  <c r="F16" i="14"/>
  <c r="E24" i="14"/>
  <c r="E25" i="14" s="1"/>
  <c r="P15" i="14" l="1"/>
  <c r="P16" i="14" s="1"/>
  <c r="O15" i="14"/>
  <c r="P22" i="14"/>
  <c r="P23" i="14" s="1"/>
  <c r="O22" i="14"/>
  <c r="O23" i="14" s="1"/>
  <c r="L22" i="14"/>
  <c r="L23" i="14" s="1"/>
  <c r="K22" i="14"/>
  <c r="K23" i="14" s="1"/>
  <c r="L15" i="14"/>
  <c r="K15" i="14"/>
  <c r="H22" i="14"/>
  <c r="H23" i="14" s="1"/>
  <c r="G22" i="14"/>
  <c r="G23" i="14" s="1"/>
  <c r="H15" i="14"/>
  <c r="H16" i="14" s="1"/>
  <c r="G15" i="14"/>
  <c r="D22" i="14"/>
  <c r="D23" i="14" s="1"/>
  <c r="C22" i="14"/>
  <c r="C23" i="14" s="1"/>
  <c r="D15" i="14"/>
  <c r="D16" i="14" s="1"/>
  <c r="C15" i="14"/>
  <c r="O24" i="14" l="1"/>
  <c r="O25" i="14" s="1"/>
  <c r="G24" i="14"/>
  <c r="G25" i="14" s="1"/>
  <c r="P24" i="14"/>
  <c r="P25" i="14" s="1"/>
  <c r="C24" i="14"/>
  <c r="C25" i="14" s="1"/>
  <c r="K24" i="14"/>
  <c r="K25" i="14" s="1"/>
  <c r="L24" i="14"/>
  <c r="L25" i="14" s="1"/>
  <c r="D24" i="14"/>
  <c r="D25" i="14" s="1"/>
  <c r="H24" i="14"/>
  <c r="H25" i="14" s="1"/>
  <c r="L16" i="14"/>
  <c r="O16" i="14"/>
  <c r="C16" i="14"/>
  <c r="G16" i="14"/>
  <c r="K16" i="14"/>
  <c r="J22" i="13"/>
  <c r="J23" i="13" s="1"/>
  <c r="J15" i="13"/>
  <c r="J16" i="13" s="1"/>
  <c r="Q13" i="13"/>
  <c r="E20" i="13"/>
  <c r="E19" i="13"/>
  <c r="Q21" i="13"/>
  <c r="Q20" i="13"/>
  <c r="Q19" i="13"/>
  <c r="Q18" i="13"/>
  <c r="Q14" i="13"/>
  <c r="Q10" i="13"/>
  <c r="Q9" i="13"/>
  <c r="P22" i="13"/>
  <c r="P23" i="13" s="1"/>
  <c r="O22" i="13"/>
  <c r="O23" i="13" s="1"/>
  <c r="P15" i="13"/>
  <c r="P16" i="13" s="1"/>
  <c r="O15" i="13"/>
  <c r="O16" i="13" s="1"/>
  <c r="M21" i="13"/>
  <c r="M22" i="13" s="1"/>
  <c r="M11" i="13"/>
  <c r="I22" i="13"/>
  <c r="I15" i="13"/>
  <c r="I16" i="13" s="1"/>
  <c r="D22" i="13"/>
  <c r="D23" i="13" s="1"/>
  <c r="D15" i="13"/>
  <c r="D16" i="13" s="1"/>
  <c r="C15" i="13"/>
  <c r="C16" i="13" s="1"/>
  <c r="C22" i="13"/>
  <c r="E14" i="13"/>
  <c r="E13" i="13"/>
  <c r="E12" i="13"/>
  <c r="E11" i="13"/>
  <c r="E10" i="13"/>
  <c r="E9" i="13"/>
  <c r="E8" i="13"/>
  <c r="J24" i="13" l="1"/>
  <c r="J25" i="13" s="1"/>
  <c r="M23" i="13"/>
  <c r="N22" i="13"/>
  <c r="F22" i="13"/>
  <c r="F23" i="13" s="1"/>
  <c r="F15" i="13"/>
  <c r="F24" i="13" s="1"/>
  <c r="F25" i="13" s="1"/>
  <c r="C24" i="13"/>
  <c r="C25" i="13" s="1"/>
  <c r="Q22" i="13"/>
  <c r="Q23" i="13" s="1"/>
  <c r="R22" i="13"/>
  <c r="R23" i="13" s="1"/>
  <c r="I24" i="13"/>
  <c r="I25" i="13" s="1"/>
  <c r="E15" i="13"/>
  <c r="E16" i="13" s="1"/>
  <c r="Q15" i="13"/>
  <c r="Q24" i="13" s="1"/>
  <c r="Q25" i="13" s="1"/>
  <c r="R15" i="13"/>
  <c r="R16" i="13" s="1"/>
  <c r="E22" i="13"/>
  <c r="E23" i="13" s="1"/>
  <c r="C23" i="13"/>
  <c r="D24" i="13"/>
  <c r="D25" i="13" s="1"/>
  <c r="O24" i="13"/>
  <c r="O25" i="13" s="1"/>
  <c r="P24" i="13"/>
  <c r="P25" i="13" s="1"/>
  <c r="I23" i="13"/>
  <c r="F16" i="13" l="1"/>
  <c r="Q16" i="13"/>
  <c r="N23" i="13"/>
  <c r="E24" i="13"/>
  <c r="E25" i="13" s="1"/>
  <c r="R24" i="13"/>
  <c r="R25" i="13" s="1"/>
  <c r="L15" i="13"/>
  <c r="L22" i="13"/>
  <c r="L23" i="13" s="1"/>
  <c r="K22" i="13"/>
  <c r="K23" i="13" s="1"/>
  <c r="H22" i="13"/>
  <c r="H23" i="13" s="1"/>
  <c r="G22" i="13"/>
  <c r="G23" i="13" s="1"/>
  <c r="H15" i="13"/>
  <c r="H16" i="13" s="1"/>
  <c r="G15" i="13"/>
  <c r="G16" i="13" s="1"/>
  <c r="M15" i="13" l="1"/>
  <c r="N15" i="13"/>
  <c r="G24" i="13"/>
  <c r="G25" i="13" s="1"/>
  <c r="K15" i="13"/>
  <c r="K16" i="13" s="1"/>
  <c r="H24" i="13"/>
  <c r="H25" i="13" s="1"/>
  <c r="L24" i="13"/>
  <c r="L25" i="13" s="1"/>
  <c r="L16" i="13"/>
  <c r="V22" i="15"/>
  <c r="V21" i="15"/>
  <c r="V11" i="15"/>
  <c r="U23" i="15"/>
  <c r="U24" i="15" s="1"/>
  <c r="T23" i="15"/>
  <c r="T24" i="15" s="1"/>
  <c r="S23" i="15"/>
  <c r="S24" i="15" s="1"/>
  <c r="U16" i="15"/>
  <c r="U25" i="15" s="1"/>
  <c r="U26" i="15" s="1"/>
  <c r="T16" i="15"/>
  <c r="S16" i="15"/>
  <c r="S17" i="15" s="1"/>
  <c r="R23" i="15"/>
  <c r="R24" i="15" s="1"/>
  <c r="R16" i="15"/>
  <c r="Q22" i="15"/>
  <c r="Q19" i="15"/>
  <c r="Q23" i="15" s="1"/>
  <c r="Q14" i="15"/>
  <c r="Q12" i="15"/>
  <c r="Q16" i="15"/>
  <c r="Q17" i="15" s="1"/>
  <c r="P23" i="15"/>
  <c r="P24" i="15" s="1"/>
  <c r="O23" i="15"/>
  <c r="O24" i="15" s="1"/>
  <c r="N24" i="15"/>
  <c r="N23" i="15"/>
  <c r="P16" i="15"/>
  <c r="P25" i="15" s="1"/>
  <c r="P26" i="15" s="1"/>
  <c r="O16" i="15"/>
  <c r="O17" i="15" s="1"/>
  <c r="N16" i="15"/>
  <c r="N17" i="15" s="1"/>
  <c r="M23" i="15"/>
  <c r="M24" i="15" s="1"/>
  <c r="M16" i="15"/>
  <c r="L20" i="15"/>
  <c r="L19" i="15"/>
  <c r="L11" i="15"/>
  <c r="L16" i="15" s="1"/>
  <c r="L17" i="15" s="1"/>
  <c r="K23" i="15"/>
  <c r="K24" i="15" s="1"/>
  <c r="J23" i="15"/>
  <c r="J24" i="15" s="1"/>
  <c r="I23" i="15"/>
  <c r="I24" i="15" s="1"/>
  <c r="K16" i="15"/>
  <c r="K17" i="15" s="1"/>
  <c r="J16" i="15"/>
  <c r="J17" i="15" s="1"/>
  <c r="I16" i="15"/>
  <c r="H23" i="15"/>
  <c r="H24" i="15" s="1"/>
  <c r="H16" i="15"/>
  <c r="G14" i="15"/>
  <c r="G11" i="15"/>
  <c r="F23" i="15"/>
  <c r="F24" i="15" s="1"/>
  <c r="E23" i="15"/>
  <c r="E24" i="15" s="1"/>
  <c r="F16" i="15"/>
  <c r="E16" i="15"/>
  <c r="E17" i="15" s="1"/>
  <c r="D23" i="15"/>
  <c r="D24" i="15" s="1"/>
  <c r="D16" i="15"/>
  <c r="D17" i="15" s="1"/>
  <c r="C23" i="15"/>
  <c r="C24" i="15" s="1"/>
  <c r="C16" i="15"/>
  <c r="C17" i="15" s="1"/>
  <c r="H25" i="15" l="1"/>
  <c r="H26" i="15" s="1"/>
  <c r="V23" i="15"/>
  <c r="V24" i="15" s="1"/>
  <c r="R17" i="15"/>
  <c r="R25" i="15"/>
  <c r="R26" i="15" s="1"/>
  <c r="N16" i="13"/>
  <c r="N24" i="13"/>
  <c r="N25" i="13" s="1"/>
  <c r="M16" i="13"/>
  <c r="M24" i="13"/>
  <c r="M25" i="13" s="1"/>
  <c r="T25" i="15"/>
  <c r="T26" i="15" s="1"/>
  <c r="U17" i="15"/>
  <c r="T17" i="15"/>
  <c r="V16" i="15"/>
  <c r="V17" i="15" s="1"/>
  <c r="S25" i="15"/>
  <c r="S26" i="15" s="1"/>
  <c r="N25" i="15"/>
  <c r="N26" i="15" s="1"/>
  <c r="M25" i="15"/>
  <c r="M26" i="15" s="1"/>
  <c r="J25" i="15"/>
  <c r="J26" i="15" s="1"/>
  <c r="K25" i="15"/>
  <c r="K26" i="15" s="1"/>
  <c r="L23" i="15"/>
  <c r="L24" i="15" s="1"/>
  <c r="I25" i="15"/>
  <c r="I26" i="15" s="1"/>
  <c r="I17" i="15"/>
  <c r="H17" i="15"/>
  <c r="L25" i="15"/>
  <c r="L26" i="15" s="1"/>
  <c r="G23" i="15"/>
  <c r="G24" i="15" s="1"/>
  <c r="D25" i="15"/>
  <c r="D26" i="15" s="1"/>
  <c r="G16" i="15"/>
  <c r="G17" i="15" s="1"/>
  <c r="F25" i="15"/>
  <c r="F26" i="15" s="1"/>
  <c r="E25" i="15"/>
  <c r="E26" i="15" s="1"/>
  <c r="F17" i="15"/>
  <c r="C25" i="15"/>
  <c r="C26" i="15" s="1"/>
  <c r="K24" i="13"/>
  <c r="K25" i="13" s="1"/>
  <c r="P17" i="15"/>
  <c r="O25" i="15"/>
  <c r="O26" i="15" s="1"/>
  <c r="M17" i="15"/>
  <c r="V25" i="15" l="1"/>
  <c r="V26" i="15" s="1"/>
  <c r="G25" i="15"/>
  <c r="G26" i="15" s="1"/>
  <c r="H22" i="11"/>
  <c r="H23" i="11" s="1"/>
  <c r="J22" i="11"/>
  <c r="J23" i="11" s="1"/>
  <c r="I22" i="11"/>
  <c r="I23" i="11" s="1"/>
  <c r="G22" i="11"/>
  <c r="G23" i="11" s="1"/>
  <c r="J15" i="11"/>
  <c r="I15" i="11"/>
  <c r="H15" i="11"/>
  <c r="G15" i="11"/>
  <c r="C15" i="10"/>
  <c r="F22" i="11" l="1"/>
  <c r="F23" i="11" s="1"/>
  <c r="E15" i="11"/>
  <c r="E16" i="11" s="1"/>
  <c r="F15" i="11"/>
  <c r="F24" i="11" s="1"/>
  <c r="F25" i="11" s="1"/>
  <c r="E22" i="11"/>
  <c r="E23" i="11" s="1"/>
  <c r="J24" i="11"/>
  <c r="J25" i="11" s="1"/>
  <c r="J16" i="11"/>
  <c r="H24" i="11"/>
  <c r="H25" i="11" s="1"/>
  <c r="H16" i="11"/>
  <c r="I16" i="11"/>
  <c r="I24" i="11"/>
  <c r="I25" i="11" s="1"/>
  <c r="G24" i="11"/>
  <c r="G25" i="11" s="1"/>
  <c r="G16" i="11"/>
  <c r="I22" i="10"/>
  <c r="I23" i="10" s="1"/>
  <c r="F15" i="10"/>
  <c r="F16" i="10" s="1"/>
  <c r="H22" i="10"/>
  <c r="H23" i="10" s="1"/>
  <c r="I15" i="10"/>
  <c r="J15" i="10"/>
  <c r="J16" i="10" s="1"/>
  <c r="J22" i="10"/>
  <c r="J23" i="10" s="1"/>
  <c r="D22" i="11"/>
  <c r="D23" i="11" s="1"/>
  <c r="D15" i="11"/>
  <c r="D16" i="11" s="1"/>
  <c r="C22" i="11"/>
  <c r="C23" i="11" s="1"/>
  <c r="C15" i="11"/>
  <c r="G22" i="10"/>
  <c r="G23" i="10" s="1"/>
  <c r="H15" i="10"/>
  <c r="H16" i="10" s="1"/>
  <c r="D22" i="10"/>
  <c r="D23" i="10" s="1"/>
  <c r="E15" i="10"/>
  <c r="E16" i="10" s="1"/>
  <c r="F22" i="10"/>
  <c r="F23" i="10" s="1"/>
  <c r="G15" i="10"/>
  <c r="G16" i="10" s="1"/>
  <c r="C22" i="10"/>
  <c r="C23" i="10" s="1"/>
  <c r="D15" i="10"/>
  <c r="E22" i="10"/>
  <c r="E23" i="10" s="1"/>
  <c r="C16" i="10"/>
  <c r="C24" i="10"/>
  <c r="C25" i="10" s="1"/>
  <c r="N20" i="6"/>
  <c r="N19" i="6"/>
  <c r="N18" i="6"/>
  <c r="N17" i="6"/>
  <c r="N13" i="6"/>
  <c r="N12" i="6"/>
  <c r="N9" i="6"/>
  <c r="N8" i="6"/>
  <c r="M14" i="6"/>
  <c r="M15" i="6" s="1"/>
  <c r="M21" i="6"/>
  <c r="K7" i="6"/>
  <c r="K20" i="6"/>
  <c r="K17" i="6"/>
  <c r="K12" i="6"/>
  <c r="K10" i="6"/>
  <c r="K9" i="6"/>
  <c r="K8" i="6"/>
  <c r="J21" i="6"/>
  <c r="J22" i="6" s="1"/>
  <c r="H20" i="6"/>
  <c r="H19" i="6"/>
  <c r="H18" i="6"/>
  <c r="H17" i="6"/>
  <c r="H13" i="6"/>
  <c r="H12" i="6"/>
  <c r="H11" i="6"/>
  <c r="H10" i="6"/>
  <c r="H9" i="6"/>
  <c r="H8" i="6"/>
  <c r="H7" i="6"/>
  <c r="G14" i="6"/>
  <c r="G21" i="6"/>
  <c r="G22" i="6" s="1"/>
  <c r="E20" i="6"/>
  <c r="E19" i="6"/>
  <c r="E18" i="6"/>
  <c r="E17" i="6"/>
  <c r="E13" i="6"/>
  <c r="E12" i="6"/>
  <c r="E11" i="6"/>
  <c r="E10" i="6"/>
  <c r="E9" i="6"/>
  <c r="E8" i="6"/>
  <c r="E7" i="6"/>
  <c r="D14" i="6"/>
  <c r="D23" i="6" s="1"/>
  <c r="D24" i="6" s="1"/>
  <c r="D21" i="6"/>
  <c r="D22" i="6" s="1"/>
  <c r="C24" i="11" l="1"/>
  <c r="C25" i="11" s="1"/>
  <c r="E24" i="11"/>
  <c r="E25" i="11" s="1"/>
  <c r="F16" i="11"/>
  <c r="D24" i="11"/>
  <c r="D25" i="11" s="1"/>
  <c r="I24" i="10"/>
  <c r="I25" i="10" s="1"/>
  <c r="H24" i="10"/>
  <c r="H25" i="10" s="1"/>
  <c r="D24" i="10"/>
  <c r="D25" i="10" s="1"/>
  <c r="I16" i="10"/>
  <c r="E24" i="10"/>
  <c r="E25" i="10" s="1"/>
  <c r="M23" i="6"/>
  <c r="M24" i="6" s="1"/>
  <c r="G23" i="6"/>
  <c r="G24" i="6" s="1"/>
  <c r="J24" i="10"/>
  <c r="J25" i="10" s="1"/>
  <c r="D16" i="10"/>
  <c r="M22" i="6"/>
  <c r="N21" i="6"/>
  <c r="N22" i="6" s="1"/>
  <c r="N14" i="6"/>
  <c r="N15" i="6" s="1"/>
  <c r="K21" i="6"/>
  <c r="K22" i="6" s="1"/>
  <c r="K14" i="6"/>
  <c r="H21" i="6"/>
  <c r="H22" i="6" s="1"/>
  <c r="H14" i="6"/>
  <c r="H23" i="6" s="1"/>
  <c r="H24" i="6" s="1"/>
  <c r="E21" i="6"/>
  <c r="E22" i="6" s="1"/>
  <c r="E14" i="6"/>
  <c r="E15" i="6" s="1"/>
  <c r="G15" i="6"/>
  <c r="D15" i="6"/>
  <c r="C16" i="11"/>
  <c r="G24" i="10"/>
  <c r="G25" i="10" s="1"/>
  <c r="F24" i="10"/>
  <c r="F25" i="10" s="1"/>
  <c r="J14" i="6"/>
  <c r="J15" i="9"/>
  <c r="J16" i="9" s="1"/>
  <c r="J22" i="9"/>
  <c r="J23" i="9" s="1"/>
  <c r="F22" i="9"/>
  <c r="F23" i="9" s="1"/>
  <c r="F15" i="9"/>
  <c r="F16" i="9" s="1"/>
  <c r="L21" i="6"/>
  <c r="L22" i="6" s="1"/>
  <c r="L14" i="6"/>
  <c r="L15" i="6" s="1"/>
  <c r="I15" i="9"/>
  <c r="I22" i="9"/>
  <c r="I23" i="9" s="1"/>
  <c r="E22" i="9"/>
  <c r="E23" i="9" s="1"/>
  <c r="E15" i="9"/>
  <c r="E16" i="9" s="1"/>
  <c r="I21" i="6"/>
  <c r="I22" i="6" s="1"/>
  <c r="I14" i="6"/>
  <c r="H22" i="9"/>
  <c r="H23" i="9" s="1"/>
  <c r="H15" i="9"/>
  <c r="D15" i="9"/>
  <c r="D22" i="9"/>
  <c r="D23" i="9" s="1"/>
  <c r="F21" i="6"/>
  <c r="F22" i="6" s="1"/>
  <c r="F14" i="6"/>
  <c r="F15" i="6" s="1"/>
  <c r="G22" i="9"/>
  <c r="G23" i="9" s="1"/>
  <c r="G15" i="9"/>
  <c r="C22" i="9"/>
  <c r="C23" i="9" s="1"/>
  <c r="C15" i="9"/>
  <c r="C24" i="9" s="1"/>
  <c r="C25" i="9" s="1"/>
  <c r="G24" i="9" l="1"/>
  <c r="G25" i="9" s="1"/>
  <c r="E23" i="6"/>
  <c r="E24" i="6" s="1"/>
  <c r="I23" i="6"/>
  <c r="I24" i="6" s="1"/>
  <c r="N23" i="6"/>
  <c r="N24" i="6" s="1"/>
  <c r="H15" i="6"/>
  <c r="F24" i="9"/>
  <c r="F25" i="9" s="1"/>
  <c r="L23" i="6"/>
  <c r="L24" i="6" s="1"/>
  <c r="I24" i="9"/>
  <c r="I25" i="9" s="1"/>
  <c r="I16" i="9"/>
  <c r="E24" i="9"/>
  <c r="E25" i="9" s="1"/>
  <c r="I15" i="6"/>
  <c r="H24" i="9"/>
  <c r="H25" i="9" s="1"/>
  <c r="H16" i="9"/>
  <c r="D24" i="9"/>
  <c r="D25" i="9" s="1"/>
  <c r="D16" i="9"/>
  <c r="F23" i="6"/>
  <c r="F24" i="6" s="1"/>
  <c r="G16" i="9"/>
  <c r="C16" i="9"/>
  <c r="J23" i="6"/>
  <c r="J24" i="6" s="1"/>
  <c r="J15" i="6"/>
  <c r="J24" i="9"/>
  <c r="J25" i="9" s="1"/>
  <c r="C21" i="6"/>
  <c r="C22" i="6" s="1"/>
  <c r="C14" i="6"/>
  <c r="C23" i="6" l="1"/>
  <c r="C24" i="6" s="1"/>
  <c r="C15" i="6"/>
  <c r="K23" i="6"/>
  <c r="K24" i="6" s="1"/>
  <c r="K15" i="6"/>
  <c r="F21" i="12"/>
  <c r="F22" i="12" s="1"/>
  <c r="F14" i="12"/>
  <c r="F15" i="12" s="1"/>
  <c r="E21" i="12"/>
  <c r="E22" i="12" s="1"/>
  <c r="E14" i="12"/>
  <c r="E15" i="12" s="1"/>
  <c r="P14" i="12"/>
  <c r="P21" i="12"/>
  <c r="P22" i="12" s="1"/>
  <c r="L14" i="12"/>
  <c r="L21" i="12"/>
  <c r="L22" i="12" s="1"/>
  <c r="H14" i="12"/>
  <c r="H21" i="12"/>
  <c r="H22" i="12" s="1"/>
  <c r="D14" i="12"/>
  <c r="D15" i="12" s="1"/>
  <c r="D21" i="12"/>
  <c r="D22" i="12" s="1"/>
  <c r="O14" i="12"/>
  <c r="O21" i="12"/>
  <c r="O22" i="12" s="1"/>
  <c r="K21" i="12"/>
  <c r="K22" i="12" s="1"/>
  <c r="K14" i="12"/>
  <c r="G21" i="12"/>
  <c r="G22" i="12" s="1"/>
  <c r="G14" i="12"/>
  <c r="C21" i="12"/>
  <c r="C22" i="12" s="1"/>
  <c r="C14" i="12"/>
  <c r="C15" i="12" s="1"/>
  <c r="F23" i="12" l="1"/>
  <c r="F24" i="12" s="1"/>
  <c r="P23" i="12"/>
  <c r="P24" i="12" s="1"/>
  <c r="P15" i="12"/>
  <c r="L23" i="12"/>
  <c r="L24" i="12" s="1"/>
  <c r="L15" i="12"/>
  <c r="H23" i="12"/>
  <c r="H24" i="12" s="1"/>
  <c r="H15" i="12"/>
  <c r="D23" i="12"/>
  <c r="D24" i="12" s="1"/>
  <c r="O23" i="12"/>
  <c r="O24" i="12" s="1"/>
  <c r="O15" i="12"/>
  <c r="K23" i="12"/>
  <c r="K24" i="12" s="1"/>
  <c r="K15" i="12"/>
  <c r="G23" i="12"/>
  <c r="G24" i="12" s="1"/>
  <c r="G15" i="12"/>
  <c r="C23" i="12"/>
  <c r="C24" i="12" s="1"/>
  <c r="E23" i="12"/>
  <c r="E24" i="12" s="1"/>
  <c r="Q21" i="4"/>
  <c r="Q20" i="4"/>
  <c r="Q19" i="4"/>
  <c r="Q18" i="4"/>
  <c r="Q14" i="4"/>
  <c r="Q13" i="4"/>
  <c r="Q10" i="4"/>
  <c r="Q9" i="4"/>
  <c r="N21" i="5"/>
  <c r="N20" i="5"/>
  <c r="N19" i="5"/>
  <c r="N18" i="5"/>
  <c r="N14" i="5"/>
  <c r="N13" i="5"/>
  <c r="N10" i="5"/>
  <c r="N9" i="5"/>
  <c r="L15" i="5"/>
  <c r="M15" i="5"/>
  <c r="M16" i="5" s="1"/>
  <c r="M22" i="5"/>
  <c r="M23" i="5" s="1"/>
  <c r="P22" i="4"/>
  <c r="P23" i="4" s="1"/>
  <c r="P15" i="4"/>
  <c r="P16" i="4" s="1"/>
  <c r="K21" i="5"/>
  <c r="K18" i="5"/>
  <c r="K22" i="5" s="1"/>
  <c r="K23" i="5" s="1"/>
  <c r="K13" i="5"/>
  <c r="K11" i="5"/>
  <c r="K10" i="5"/>
  <c r="K9" i="5"/>
  <c r="I15" i="5"/>
  <c r="I16" i="5" s="1"/>
  <c r="O22" i="4"/>
  <c r="O23" i="4" s="1"/>
  <c r="O15" i="4"/>
  <c r="L22" i="5"/>
  <c r="L23" i="5" s="1"/>
  <c r="N21" i="4"/>
  <c r="N18" i="4"/>
  <c r="N13" i="4"/>
  <c r="N11" i="4"/>
  <c r="N10" i="4"/>
  <c r="N9" i="4"/>
  <c r="M22" i="4"/>
  <c r="M23" i="4" s="1"/>
  <c r="J22" i="5"/>
  <c r="J23" i="5" s="1"/>
  <c r="J15" i="5"/>
  <c r="M15" i="4"/>
  <c r="M16" i="4" s="1"/>
  <c r="L22" i="4"/>
  <c r="L23" i="4" s="1"/>
  <c r="I22" i="5"/>
  <c r="I23" i="5" s="1"/>
  <c r="N8" i="4"/>
  <c r="H21" i="5"/>
  <c r="H20" i="5"/>
  <c r="H19" i="5"/>
  <c r="H18" i="5"/>
  <c r="H14" i="5"/>
  <c r="H13" i="5"/>
  <c r="H12" i="5"/>
  <c r="H11" i="5"/>
  <c r="H10" i="5"/>
  <c r="H9" i="5"/>
  <c r="H8" i="5"/>
  <c r="K21" i="4"/>
  <c r="K20" i="4"/>
  <c r="K19" i="4"/>
  <c r="K18" i="4"/>
  <c r="K14" i="4"/>
  <c r="K13" i="4"/>
  <c r="K12" i="4"/>
  <c r="K11" i="4"/>
  <c r="K10" i="4"/>
  <c r="K9" i="4"/>
  <c r="K8" i="4"/>
  <c r="G15" i="5"/>
  <c r="G16" i="5" s="1"/>
  <c r="G22" i="5"/>
  <c r="G23" i="5" s="1"/>
  <c r="J15" i="4"/>
  <c r="J16" i="4" s="1"/>
  <c r="J22" i="4"/>
  <c r="J23" i="4" s="1"/>
  <c r="F15" i="5"/>
  <c r="F22" i="5"/>
  <c r="F23" i="5" s="1"/>
  <c r="I15" i="4"/>
  <c r="I16" i="4" s="1"/>
  <c r="I22" i="4"/>
  <c r="I23" i="4" s="1"/>
  <c r="D15" i="5"/>
  <c r="F15" i="4"/>
  <c r="F16" i="4" s="1"/>
  <c r="E21" i="5"/>
  <c r="E20" i="5"/>
  <c r="E19" i="5"/>
  <c r="E18" i="5"/>
  <c r="E14" i="5"/>
  <c r="E13" i="5"/>
  <c r="E12" i="5"/>
  <c r="E11" i="5"/>
  <c r="E10" i="5"/>
  <c r="E9" i="5"/>
  <c r="D22" i="5"/>
  <c r="D23" i="5" s="1"/>
  <c r="C22" i="5"/>
  <c r="C23" i="5" s="1"/>
  <c r="E21" i="4"/>
  <c r="E20" i="4"/>
  <c r="E19" i="4"/>
  <c r="E18" i="4"/>
  <c r="E14" i="4"/>
  <c r="E13" i="4"/>
  <c r="E12" i="4"/>
  <c r="E11" i="4"/>
  <c r="E10" i="4"/>
  <c r="E9" i="4"/>
  <c r="E8" i="4"/>
  <c r="G21" i="4"/>
  <c r="H21" i="4" s="1"/>
  <c r="G20" i="4"/>
  <c r="H20" i="4" s="1"/>
  <c r="G19" i="4"/>
  <c r="H19" i="4" s="1"/>
  <c r="G18" i="4"/>
  <c r="H18" i="4" s="1"/>
  <c r="G14" i="4"/>
  <c r="H14" i="4" s="1"/>
  <c r="G13" i="4"/>
  <c r="H13" i="4" s="1"/>
  <c r="G12" i="4"/>
  <c r="H12" i="4" s="1"/>
  <c r="G11" i="4"/>
  <c r="H11" i="4" s="1"/>
  <c r="G10" i="4"/>
  <c r="H10" i="4" s="1"/>
  <c r="G9" i="4"/>
  <c r="H9" i="4" s="1"/>
  <c r="F22" i="4"/>
  <c r="F23" i="4" s="1"/>
  <c r="D15" i="4"/>
  <c r="D16" i="4" s="1"/>
  <c r="D22" i="4"/>
  <c r="D23" i="4" s="1"/>
  <c r="C15" i="4"/>
  <c r="C16" i="4" s="1"/>
  <c r="C22" i="4"/>
  <c r="C23" i="4" s="1"/>
  <c r="L24" i="5" l="1"/>
  <c r="L25" i="5" s="1"/>
  <c r="L16" i="5"/>
  <c r="F24" i="5"/>
  <c r="F25" i="5" s="1"/>
  <c r="F16" i="5"/>
  <c r="J24" i="5"/>
  <c r="J25" i="5" s="1"/>
  <c r="J16" i="5"/>
  <c r="D24" i="5"/>
  <c r="D25" i="5" s="1"/>
  <c r="D16" i="5"/>
  <c r="Q22" i="4"/>
  <c r="Q23" i="4" s="1"/>
  <c r="O24" i="4"/>
  <c r="O25" i="4" s="1"/>
  <c r="O16" i="4"/>
  <c r="Q15" i="4"/>
  <c r="Q16" i="4" s="1"/>
  <c r="G8" i="4"/>
  <c r="G15" i="4" s="1"/>
  <c r="G16" i="4" s="1"/>
  <c r="I24" i="4"/>
  <c r="I25" i="4" s="1"/>
  <c r="K22" i="4"/>
  <c r="K23" i="4" s="1"/>
  <c r="J24" i="4"/>
  <c r="J25" i="4" s="1"/>
  <c r="L15" i="4"/>
  <c r="N15" i="4"/>
  <c r="N16" i="4" s="1"/>
  <c r="M24" i="4"/>
  <c r="M25" i="4" s="1"/>
  <c r="N22" i="4"/>
  <c r="N23" i="4" s="1"/>
  <c r="K15" i="4"/>
  <c r="I24" i="5"/>
  <c r="I25" i="5" s="1"/>
  <c r="N15" i="5"/>
  <c r="N16" i="5" s="1"/>
  <c r="N22" i="5"/>
  <c r="N23" i="5" s="1"/>
  <c r="E22" i="5"/>
  <c r="E23" i="5" s="1"/>
  <c r="H15" i="5"/>
  <c r="H16" i="5" s="1"/>
  <c r="G24" i="5"/>
  <c r="G25" i="5" s="1"/>
  <c r="H22" i="5"/>
  <c r="H23" i="5" s="1"/>
  <c r="H22" i="4"/>
  <c r="H23" i="4" s="1"/>
  <c r="D24" i="4"/>
  <c r="D25" i="4" s="1"/>
  <c r="P24" i="4"/>
  <c r="P25" i="4" s="1"/>
  <c r="F24" i="4"/>
  <c r="F25" i="4" s="1"/>
  <c r="E22" i="4"/>
  <c r="E23" i="4" s="1"/>
  <c r="C24" i="4"/>
  <c r="C25" i="4" s="1"/>
  <c r="G22" i="4"/>
  <c r="E15" i="4"/>
  <c r="M24" i="5"/>
  <c r="M25" i="5" s="1"/>
  <c r="K8" i="5"/>
  <c r="K15" i="5" s="1"/>
  <c r="E8" i="5"/>
  <c r="E15" i="5" s="1"/>
  <c r="C15" i="5"/>
  <c r="H8" i="4" l="1"/>
  <c r="H15" i="4" s="1"/>
  <c r="H16" i="4" s="1"/>
  <c r="C24" i="5"/>
  <c r="C25" i="5" s="1"/>
  <c r="C16" i="5"/>
  <c r="K24" i="5"/>
  <c r="K25" i="5" s="1"/>
  <c r="K16" i="5"/>
  <c r="E24" i="5"/>
  <c r="E25" i="5" s="1"/>
  <c r="E16" i="5"/>
  <c r="Q24" i="4"/>
  <c r="Q25" i="4" s="1"/>
  <c r="L24" i="4"/>
  <c r="L25" i="4" s="1"/>
  <c r="L16" i="4"/>
  <c r="K24" i="4"/>
  <c r="K25" i="4" s="1"/>
  <c r="K16" i="4"/>
  <c r="G24" i="4"/>
  <c r="G25" i="4" s="1"/>
  <c r="G23" i="4"/>
  <c r="E24" i="4"/>
  <c r="E25" i="4" s="1"/>
  <c r="E16" i="4"/>
  <c r="H24" i="4"/>
  <c r="H25" i="4" s="1"/>
  <c r="N24" i="4"/>
  <c r="N25" i="4" s="1"/>
  <c r="N24" i="5"/>
  <c r="N25" i="5" s="1"/>
  <c r="H24" i="5"/>
  <c r="H25" i="5" s="1"/>
  <c r="R23" i="3"/>
  <c r="R24" i="3" s="1"/>
  <c r="R16" i="3"/>
  <c r="Q23" i="3"/>
  <c r="Q24" i="3" s="1"/>
  <c r="Q16" i="3"/>
  <c r="Q25" i="3" s="1"/>
  <c r="Q26" i="3" s="1"/>
  <c r="O24" i="3"/>
  <c r="O16" i="3"/>
  <c r="O17" i="3" s="1"/>
  <c r="J21" i="3"/>
  <c r="J22" i="3"/>
  <c r="J20" i="3"/>
  <c r="J19" i="3"/>
  <c r="J15" i="3"/>
  <c r="J14" i="3"/>
  <c r="J13" i="3"/>
  <c r="J12" i="3"/>
  <c r="J11" i="3"/>
  <c r="J10" i="3"/>
  <c r="J9" i="3"/>
  <c r="I23" i="3"/>
  <c r="I24" i="3" s="1"/>
  <c r="I16" i="3"/>
  <c r="N22" i="3"/>
  <c r="N19" i="3"/>
  <c r="N14" i="3"/>
  <c r="N12" i="3"/>
  <c r="N11" i="3"/>
  <c r="N10" i="3"/>
  <c r="K23" i="3"/>
  <c r="K24" i="3" s="1"/>
  <c r="K16" i="3"/>
  <c r="K17" i="3" s="1"/>
  <c r="N9" i="3"/>
  <c r="M23" i="3"/>
  <c r="M24" i="3" s="1"/>
  <c r="G23" i="3"/>
  <c r="G24" i="3" s="1"/>
  <c r="G16" i="3"/>
  <c r="G25" i="3" l="1"/>
  <c r="G26" i="3" s="1"/>
  <c r="P16" i="3"/>
  <c r="P17" i="3" s="1"/>
  <c r="P23" i="3"/>
  <c r="P24" i="3" s="1"/>
  <c r="N16" i="3"/>
  <c r="N17" i="3" s="1"/>
  <c r="L16" i="3"/>
  <c r="L17" i="3" s="1"/>
  <c r="L23" i="3"/>
  <c r="L24" i="3" s="1"/>
  <c r="N23" i="3"/>
  <c r="N24" i="3" s="1"/>
  <c r="K25" i="3"/>
  <c r="K26" i="3" s="1"/>
  <c r="H23" i="3"/>
  <c r="H24" i="3" s="1"/>
  <c r="G17" i="3"/>
  <c r="H16" i="3"/>
  <c r="H17" i="3" s="1"/>
  <c r="I25" i="3"/>
  <c r="I26" i="3" s="1"/>
  <c r="J23" i="3"/>
  <c r="J24" i="3" s="1"/>
  <c r="I17" i="3"/>
  <c r="J16" i="3"/>
  <c r="R17" i="3"/>
  <c r="R25" i="3"/>
  <c r="R26" i="3" s="1"/>
  <c r="M16" i="3"/>
  <c r="M17" i="3" s="1"/>
  <c r="Q17" i="3"/>
  <c r="O25" i="3"/>
  <c r="O26" i="3" s="1"/>
  <c r="L25" i="3" l="1"/>
  <c r="L26" i="3" s="1"/>
  <c r="N25" i="3"/>
  <c r="N26" i="3" s="1"/>
  <c r="P25" i="3"/>
  <c r="P26" i="3" s="1"/>
  <c r="J25" i="3"/>
  <c r="J26" i="3" s="1"/>
  <c r="H25" i="3"/>
  <c r="H26" i="3" s="1"/>
  <c r="J17" i="3"/>
  <c r="M25" i="3"/>
  <c r="M26" i="3" s="1"/>
  <c r="D16" i="3" l="1"/>
  <c r="D17" i="3" s="1"/>
  <c r="D23" i="3"/>
  <c r="D24" i="3" s="1"/>
  <c r="F22" i="3"/>
  <c r="F21" i="3"/>
  <c r="F20" i="3"/>
  <c r="F19" i="3"/>
  <c r="F15" i="3"/>
  <c r="F14" i="3"/>
  <c r="F13" i="3"/>
  <c r="F12" i="3"/>
  <c r="F11" i="3"/>
  <c r="F10" i="3"/>
  <c r="F9" i="3"/>
  <c r="E23" i="3"/>
  <c r="E24" i="3" s="1"/>
  <c r="E16" i="3"/>
  <c r="C23" i="3"/>
  <c r="C24" i="3" s="1"/>
  <c r="C16" i="3"/>
  <c r="C17" i="3" s="1"/>
  <c r="E25" i="3" l="1"/>
  <c r="E26" i="3" s="1"/>
  <c r="F23" i="3"/>
  <c r="F24" i="3" s="1"/>
  <c r="D25" i="3"/>
  <c r="D26" i="3" s="1"/>
  <c r="F16" i="3"/>
  <c r="F17" i="3" s="1"/>
  <c r="E17" i="3"/>
  <c r="C25" i="3"/>
  <c r="C26" i="3" s="1"/>
  <c r="F25" i="3" l="1"/>
  <c r="F26" i="3" s="1"/>
  <c r="O22" i="1" l="1"/>
  <c r="O23" i="1" s="1"/>
  <c r="O15" i="1"/>
  <c r="M19" i="1"/>
  <c r="N15" i="1" l="1"/>
  <c r="N16" i="1" s="1"/>
  <c r="N22" i="1"/>
  <c r="N23" i="1" s="1"/>
  <c r="O24" i="1"/>
  <c r="O25" i="1" s="1"/>
  <c r="O16" i="1"/>
  <c r="M21" i="1"/>
  <c r="M20" i="1"/>
  <c r="M18" i="1"/>
  <c r="L21" i="1"/>
  <c r="L18" i="1"/>
  <c r="M14" i="1"/>
  <c r="M13" i="1"/>
  <c r="M10" i="1"/>
  <c r="M9" i="1"/>
  <c r="L11" i="1"/>
  <c r="L10" i="1"/>
  <c r="L9" i="1"/>
  <c r="K20" i="1"/>
  <c r="K19" i="1"/>
  <c r="L22" i="1" l="1"/>
  <c r="L23" i="1" s="1"/>
  <c r="M15" i="1"/>
  <c r="K22" i="1"/>
  <c r="K23" i="1" s="1"/>
  <c r="L15" i="1"/>
  <c r="N24" i="1"/>
  <c r="N25" i="1" s="1"/>
  <c r="M22" i="1"/>
  <c r="M23" i="1" s="1"/>
  <c r="K14" i="1"/>
  <c r="K13" i="1"/>
  <c r="K12" i="1"/>
  <c r="K11" i="1"/>
  <c r="K10" i="1"/>
  <c r="K9" i="1"/>
  <c r="K8" i="1"/>
  <c r="M24" i="1" l="1"/>
  <c r="M25" i="1" s="1"/>
  <c r="M16" i="1"/>
  <c r="K15" i="1"/>
  <c r="L24" i="1"/>
  <c r="L25" i="1" s="1"/>
  <c r="L16" i="1"/>
  <c r="K24" i="1" l="1"/>
  <c r="K25" i="1" s="1"/>
  <c r="K16" i="1"/>
  <c r="J22" i="1"/>
  <c r="J23" i="1" s="1"/>
  <c r="H22" i="1"/>
  <c r="H23" i="1" s="1"/>
  <c r="I15" i="1" l="1"/>
  <c r="I16" i="1" s="1"/>
  <c r="H15" i="1"/>
  <c r="H24" i="1" s="1"/>
  <c r="H25" i="1" s="1"/>
  <c r="I22" i="1"/>
  <c r="I23" i="1" s="1"/>
  <c r="G22" i="1"/>
  <c r="G23" i="1" s="1"/>
  <c r="J15" i="1"/>
  <c r="H16" i="1" l="1"/>
  <c r="I24" i="1"/>
  <c r="I25" i="1" s="1"/>
  <c r="G15" i="1"/>
  <c r="J16" i="1"/>
  <c r="J24" i="1"/>
  <c r="J25" i="1" s="1"/>
  <c r="F22" i="1"/>
  <c r="F23" i="1" s="1"/>
  <c r="E22" i="1"/>
  <c r="E23" i="1" s="1"/>
  <c r="D22" i="1"/>
  <c r="D23" i="1" s="1"/>
  <c r="G24" i="1" l="1"/>
  <c r="G25" i="1" s="1"/>
  <c r="G16" i="1"/>
  <c r="D15" i="1"/>
  <c r="F15" i="1"/>
  <c r="F16" i="1" s="1"/>
  <c r="E15" i="1"/>
  <c r="E16" i="1" s="1"/>
  <c r="D16" i="1" l="1"/>
  <c r="D24" i="1"/>
  <c r="D25" i="1" s="1"/>
  <c r="F24" i="1"/>
  <c r="F25" i="1" s="1"/>
  <c r="E24" i="1"/>
  <c r="E25" i="1" s="1"/>
  <c r="C22" i="1"/>
  <c r="C23" i="1" s="1"/>
  <c r="C15" i="1"/>
  <c r="C16" i="1" s="1"/>
  <c r="C24" i="1" l="1"/>
  <c r="C25" i="1" s="1"/>
  <c r="V21" i="2"/>
  <c r="V20" i="2"/>
  <c r="V19" i="2"/>
  <c r="V18" i="2"/>
  <c r="V14" i="2"/>
  <c r="V13" i="2"/>
  <c r="V10" i="2"/>
  <c r="V9" i="2"/>
  <c r="U24" i="2"/>
  <c r="U25" i="2" s="1"/>
  <c r="U22" i="2"/>
  <c r="T22" i="2"/>
  <c r="T23" i="2" s="1"/>
  <c r="S22" i="2"/>
  <c r="S23" i="2" s="1"/>
  <c r="R22" i="2"/>
  <c r="R23" i="2" s="1"/>
  <c r="U15" i="2"/>
  <c r="T15" i="2"/>
  <c r="T16" i="2" s="1"/>
  <c r="S15" i="2"/>
  <c r="S16" i="2" s="1"/>
  <c r="R15" i="2"/>
  <c r="R16" i="2" s="1"/>
  <c r="Q21" i="2"/>
  <c r="Q18" i="2"/>
  <c r="Q22" i="2" s="1"/>
  <c r="Q23" i="2" s="1"/>
  <c r="Q13" i="2"/>
  <c r="Q11" i="2"/>
  <c r="Q10" i="2"/>
  <c r="Q9" i="2"/>
  <c r="Q8" i="2"/>
  <c r="P22" i="2"/>
  <c r="P23" i="2" s="1"/>
  <c r="O22" i="2"/>
  <c r="O23" i="2" s="1"/>
  <c r="N22" i="2"/>
  <c r="N23" i="2" s="1"/>
  <c r="M22" i="2"/>
  <c r="M23" i="2" s="1"/>
  <c r="P15" i="2"/>
  <c r="P16" i="2" s="1"/>
  <c r="O15" i="2"/>
  <c r="N15" i="2"/>
  <c r="N24" i="2" s="1"/>
  <c r="N25" i="2" s="1"/>
  <c r="M15" i="2"/>
  <c r="M16" i="2" s="1"/>
  <c r="L21" i="2"/>
  <c r="L20" i="2"/>
  <c r="L19" i="2"/>
  <c r="L18" i="2"/>
  <c r="L14" i="2"/>
  <c r="L13" i="2"/>
  <c r="L12" i="2"/>
  <c r="L11" i="2"/>
  <c r="L10" i="2"/>
  <c r="L9" i="2"/>
  <c r="L8" i="2"/>
  <c r="K23" i="2"/>
  <c r="K22" i="2"/>
  <c r="J22" i="2"/>
  <c r="J23" i="2" s="1"/>
  <c r="I22" i="2"/>
  <c r="I23" i="2" s="1"/>
  <c r="H22" i="2"/>
  <c r="H23" i="2" s="1"/>
  <c r="K15" i="2"/>
  <c r="K16" i="2" s="1"/>
  <c r="J15" i="2"/>
  <c r="J16" i="2" s="1"/>
  <c r="I15" i="2"/>
  <c r="I16" i="2" s="1"/>
  <c r="H15" i="2"/>
  <c r="H16" i="2" s="1"/>
  <c r="G21" i="2"/>
  <c r="G20" i="2"/>
  <c r="G19" i="2"/>
  <c r="G18" i="2"/>
  <c r="G14" i="2"/>
  <c r="G13" i="2"/>
  <c r="G12" i="2"/>
  <c r="G11" i="2"/>
  <c r="G10" i="2"/>
  <c r="G9" i="2"/>
  <c r="G8" i="2"/>
  <c r="F22" i="2"/>
  <c r="F23" i="2" s="1"/>
  <c r="E22" i="2"/>
  <c r="E23" i="2" s="1"/>
  <c r="F15" i="2"/>
  <c r="F24" i="2" s="1"/>
  <c r="F25" i="2" s="1"/>
  <c r="E15" i="2"/>
  <c r="E16" i="2" s="1"/>
  <c r="D22" i="2"/>
  <c r="D23" i="2" s="1"/>
  <c r="D15" i="2"/>
  <c r="D16" i="2" s="1"/>
  <c r="C22" i="2"/>
  <c r="C23" i="2" s="1"/>
  <c r="C15" i="2"/>
  <c r="C16" i="2" s="1"/>
  <c r="T24" i="2" l="1"/>
  <c r="T25" i="2" s="1"/>
  <c r="S24" i="2"/>
  <c r="S25" i="2" s="1"/>
  <c r="V22" i="2"/>
  <c r="V23" i="2" s="1"/>
  <c r="V15" i="2"/>
  <c r="V16" i="2" s="1"/>
  <c r="R24" i="2"/>
  <c r="R25" i="2" s="1"/>
  <c r="O24" i="2"/>
  <c r="O25" i="2" s="1"/>
  <c r="O16" i="2"/>
  <c r="N16" i="2"/>
  <c r="Q15" i="2"/>
  <c r="Q16" i="2" s="1"/>
  <c r="L22" i="2"/>
  <c r="L23" i="2" s="1"/>
  <c r="I24" i="2"/>
  <c r="I25" i="2" s="1"/>
  <c r="J24" i="2"/>
  <c r="J25" i="2" s="1"/>
  <c r="H24" i="2"/>
  <c r="H25" i="2" s="1"/>
  <c r="G22" i="2"/>
  <c r="G23" i="2" s="1"/>
  <c r="D24" i="2"/>
  <c r="D25" i="2" s="1"/>
  <c r="U23" i="2"/>
  <c r="V24" i="2"/>
  <c r="V25" i="2" s="1"/>
  <c r="U16" i="2"/>
  <c r="K24" i="2"/>
  <c r="K25" i="2" s="1"/>
  <c r="L15" i="2"/>
  <c r="F16" i="2"/>
  <c r="G15" i="2"/>
  <c r="G16" i="2" s="1"/>
  <c r="P24" i="2"/>
  <c r="P25" i="2" s="1"/>
  <c r="M24" i="2"/>
  <c r="M25" i="2" s="1"/>
  <c r="G24" i="2"/>
  <c r="G25" i="2" s="1"/>
  <c r="C24" i="2"/>
  <c r="C25" i="2" s="1"/>
  <c r="E24" i="2"/>
  <c r="E25" i="2" s="1"/>
  <c r="Q24" i="2" l="1"/>
  <c r="Q25" i="2" s="1"/>
  <c r="L16" i="2"/>
  <c r="L24" i="2"/>
  <c r="L25" i="2" s="1"/>
  <c r="F15" i="7"/>
  <c r="F24" i="7" s="1"/>
  <c r="F25" i="7" s="1"/>
  <c r="F16" i="7" l="1"/>
</calcChain>
</file>

<file path=xl/sharedStrings.xml><?xml version="1.0" encoding="utf-8"?>
<sst xmlns="http://schemas.openxmlformats.org/spreadsheetml/2006/main" count="1128" uniqueCount="108">
  <si>
    <t>Eil. Nr.</t>
  </si>
  <si>
    <t>Savivaldybių viešosios bibliotekos</t>
  </si>
  <si>
    <t>Gyventojų sutelkimo procentas</t>
  </si>
  <si>
    <t>Iš viso SVB</t>
  </si>
  <si>
    <t>VB</t>
  </si>
  <si>
    <t>MF</t>
  </si>
  <si>
    <t>KF</t>
  </si>
  <si>
    <t>SVB</t>
  </si>
  <si>
    <t>I. Klaipėdos apskritis</t>
  </si>
  <si>
    <t>1.</t>
  </si>
  <si>
    <t>Klaipėdos m.</t>
  </si>
  <si>
    <t>0*</t>
  </si>
  <si>
    <t>x</t>
  </si>
  <si>
    <t>2.</t>
  </si>
  <si>
    <t>Klaipėdos r.</t>
  </si>
  <si>
    <t>3.</t>
  </si>
  <si>
    <t>Kretingos r.</t>
  </si>
  <si>
    <t>4.</t>
  </si>
  <si>
    <t>Neringos m.</t>
  </si>
  <si>
    <t>5.</t>
  </si>
  <si>
    <t>Palangos m.</t>
  </si>
  <si>
    <t>6.</t>
  </si>
  <si>
    <t>Skuodo r.</t>
  </si>
  <si>
    <t>7.</t>
  </si>
  <si>
    <t>Šilutės r.</t>
  </si>
  <si>
    <t>II. Tauragės apskritis</t>
  </si>
  <si>
    <t>Jurbarko r.</t>
  </si>
  <si>
    <t>Pagėgių sav.</t>
  </si>
  <si>
    <t>Šilalės r.</t>
  </si>
  <si>
    <t>Tauragės r.</t>
  </si>
  <si>
    <t>Iš viso Klaipėdos ir Tauragės apskrityse:</t>
  </si>
  <si>
    <t>Iš viso:</t>
  </si>
  <si>
    <t>Vidutiniškai vienoje bibliotekoje Klaipėdos ir Tauragės apskrityse:</t>
  </si>
  <si>
    <t>Vidutiniškai vienoje bibliotekoje:</t>
  </si>
  <si>
    <t>Vartotojų sk. vienam gyventojui</t>
  </si>
  <si>
    <t>Biblioteki-ninkų sk. 1000 vartotojų</t>
  </si>
  <si>
    <t>Vidut. gyvent. sk. vienai bibliotekai</t>
  </si>
  <si>
    <t>Skirtu-mas</t>
  </si>
  <si>
    <t>Iš viso</t>
  </si>
  <si>
    <t>Perreg.</t>
  </si>
  <si>
    <t>Nauji</t>
  </si>
  <si>
    <t>* VB ir MF veikia vienoje teritorijoje</t>
  </si>
  <si>
    <t>Gyventojų skaičius bibliotekų aptarnaujamose teritorijose</t>
  </si>
  <si>
    <t>skaičius</t>
  </si>
  <si>
    <t>%</t>
  </si>
  <si>
    <t>2019 m.</t>
  </si>
  <si>
    <t>skirtumas</t>
  </si>
  <si>
    <t>Miesto fil.</t>
  </si>
  <si>
    <t>Kaimo fil.</t>
  </si>
  <si>
    <t xml:space="preserve">Gyventojų sutelkimo procentas: bibliotekų vartotojų sk./ gyventojų sk. bibliotekų aptarnaujamose teritorijose ir * 100 </t>
  </si>
  <si>
    <t>SVB tinklo bibliotekose</t>
  </si>
  <si>
    <t>Apsilankymų (fizinių) sk. vienam gyventojui</t>
  </si>
  <si>
    <t>Skirtumas</t>
  </si>
  <si>
    <t>Fiz. vnt.</t>
  </si>
  <si>
    <t>Grožinės literatūros išduotis</t>
  </si>
  <si>
    <t>Šakinės literatūros išduotis</t>
  </si>
  <si>
    <t>Periodinių leidinių išduotis</t>
  </si>
  <si>
    <t xml:space="preserve">3.6. KLAIPĖDOS IR TAURAGĖS APSKRIČIŲ SAVIVALDYBIŲ VIEŠŲJŲ BIBLIOTEKŲ </t>
  </si>
  <si>
    <t>Išduota dokumentų į namus</t>
  </si>
  <si>
    <t>Išduota dokumentų vietoje</t>
  </si>
  <si>
    <t xml:space="preserve">3.7. KLAIPĖDOS IR TAURAGĖS APSKRIČIŲ SAVIVALDYBIŲ VIEŠŲJŲ BIBLIOTEKŲ </t>
  </si>
  <si>
    <t xml:space="preserve">3.8. SKAITOMUMAS IR LANKOMUMAS </t>
  </si>
  <si>
    <t>Skaitomumas</t>
  </si>
  <si>
    <t>Lankomumas</t>
  </si>
  <si>
    <t xml:space="preserve">3.9. VAIKŲ SKAITOMUMAS IR LANKOMUMAS </t>
  </si>
  <si>
    <t>Interneto seansų skaičius</t>
  </si>
  <si>
    <t>Atsisiųstųjų įrašų skaičius</t>
  </si>
  <si>
    <t>Virtualių apsilankymų skaičius</t>
  </si>
  <si>
    <t>Nusiųstųjų dokumentų skaičius</t>
  </si>
  <si>
    <t xml:space="preserve">* Grožinės ir šakinės literatūros procentas skaičiuojamas nuo visų leidinių išduoties. </t>
  </si>
  <si>
    <t xml:space="preserve">3.10. VARTOTOJAMS SKIRTOS DARBO VIETOS (DV) IR KOMPIUTERIZUOTOS DARBO VIETOS (KDV) </t>
  </si>
  <si>
    <t>Iš jų:</t>
  </si>
  <si>
    <t>KDV vartotojams iš viso:</t>
  </si>
  <si>
    <t xml:space="preserve">DV skaityklose </t>
  </si>
  <si>
    <t>Prijung-tos prie tinklo</t>
  </si>
  <si>
    <t>Prijung-tos prie interneto</t>
  </si>
  <si>
    <t>Gauta užklausų</t>
  </si>
  <si>
    <t>Užklausų skaičius vienai bibliotekai</t>
  </si>
  <si>
    <t>Įvykdyta užklausų</t>
  </si>
  <si>
    <t>Renginių iš viso:</t>
  </si>
  <si>
    <t>Tenka renginių vienai bibliotekai</t>
  </si>
  <si>
    <t>Iš jų parodos</t>
  </si>
  <si>
    <t>3.1. KLAIPĖDOS IR TAURAGĖS APSKRIČIŲ SAVIVALDYBIŲ VIEŠŲJŲ BIBLIOTEKŲ VARTOTOJŲ TELKIMAS 2020 M.</t>
  </si>
  <si>
    <t>Nuolatinis gyventojų skaičius metų pradžioje pagal amžiaus grupes apskrityse ir savivaldybėse 2020 m. Lietuvos statistikos departamentas</t>
  </si>
  <si>
    <t>3.2. KLAIPĖDOS IR TAURAGĖS APSKRIČIŲ SAVIVALDYBIŲ VIEŠŲJŲ BIBLIOTEKŲ VARTOTOJŲ SKAIČIUS 2019-2020 M.</t>
  </si>
  <si>
    <t>SVB tinklo bibliotekose 2020 m.</t>
  </si>
  <si>
    <t>VB 2020 m.</t>
  </si>
  <si>
    <t>Miesto fil. 2020 m.</t>
  </si>
  <si>
    <t>Kaimo fil. 2020 m.</t>
  </si>
  <si>
    <t>3.2.1. KLAIPĖDOS IR TAURAGĖS APSKRIČIŲ SAVIVALDYBIŲ VIEŠŲJŲ BIBLIOTEKŲ VARTOTOJŲ VAIKŲ SKAIČIUS 2019-2020 M.</t>
  </si>
  <si>
    <t>2020 m.</t>
  </si>
  <si>
    <t>Gyventojai (Statistikos departamento duomenys 2020 m. pradžioje)</t>
  </si>
  <si>
    <t>3.3. KLAIPĖDOS IR TAURAGĖS APSKRIČIŲ SAVIVALDYBIŲ VIEŠŲJŲ BIBLIOTEKŲ LANKYTOJŲ SKAIČIUS 2019-2020 M.</t>
  </si>
  <si>
    <t>Lankytojų sk.     2020 m.</t>
  </si>
  <si>
    <t xml:space="preserve">    2020 m.</t>
  </si>
  <si>
    <t>3.3.1. KLAIPĖDOS IR TAURAGĖS APSKRIČIŲ SAVIVALDYBIŲ VIEŠŲJŲ BIBLIOTEKŲ LANKYTOJŲ VAIKŲ SKAIČIUS 2019-2020 M.</t>
  </si>
  <si>
    <t>3.4. KLAIPĖDOS IR TAURAGĖS APSKRIČIŲ SAVIVALDYBIŲ VIEŠŲJŲ BIBLIOTEKŲ DOKUMENTŲ IŠDUOTIS (FIZ.VNT.) 2019-2020 M.</t>
  </si>
  <si>
    <t>DOKUMENTŲ IŠDUOTIS VIETOJE IR Į NAMUS 2020 M.</t>
  </si>
  <si>
    <t>KLAIPĖDOS IR TAURAGĖS APSKRIČIŲ SAVIVALDYBIŲ VIEŠOSIOSE BIBLIOTEKOSE 2020 M.</t>
  </si>
  <si>
    <t>3.5. KLAIPĖDOS IR TAURAGĖS APSKRIČIŲ SAVIVALDYBIŲ VIEŠŲJŲ BIBLIOTEKŲ GROŽINĖS IR ŠAKINĖS LITERATŪROS IŠDUOTIS 2020 M.</t>
  </si>
  <si>
    <t>PERIODINIŲ LEIDINIŲ IŠDUOTIS 2020 M.</t>
  </si>
  <si>
    <t>3.11. INFORMACINĖS UŽKLAUSOS KLAIPĖDOS IR TAURAGĖS APSKRIČIŲ SAVIVALDYBIŲ VIEŠOSIOSE BIBLIOTEKOSE 2020 M.</t>
  </si>
  <si>
    <t>3.12. RENGINIŲ SKAIČIUS KLAIPĖDOS IR TAURAGĖS APSKRIČIŲ SAVIVALDYBIŲ VIEŠOSIOSE BIBLIOTEKOSE 2020 M.</t>
  </si>
  <si>
    <t>3.10. NAUDOJIMASIS ELEKTRONINĖMIS PASLAUGOMIS KLAIPĖDOS IR TAURAGĖS APSKRIČIŲ SAVIVALDYBIŲ VIEŠOSIOSE BIBLIOTEKOSE 2020 M.</t>
  </si>
  <si>
    <t>Renginių skaičiaus vienai bibliotekai pokytis, lyginant su 2019 m.</t>
  </si>
  <si>
    <t>KDV pokytis lyginant su 2019 m.</t>
  </si>
  <si>
    <t>Užklausų skaičiaus vienai bibliotekai pokytis, lyginant su 2019 m.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</si>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</sst>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8" x14ac:knownFonts="1">
    <font>
      <sz val="11"/>
      <color rgb="FF000000"/>
      <name val="Calibri"/>
      <family val="2"/>
      <charset val="186"/>
    </font>
    <font>
      <sz val="11"/>
      <color theme="1"/>
      <name val="Calibri"/>
      <family val="2"/>
      <charset val="186"/>
      <scheme val="minor"/>
    </font>
    <font>
      <b/>
      <sz val="11"/>
      <color rgb="FF000000"/>
      <name val="Calibri"/>
      <family val="2"/>
      <charset val="186"/>
    </font>
    <font>
      <sz val="11"/>
      <color rgb="FF000000"/>
      <name val="Calibri"/>
    </font>
    <font>
      <sz val="12"/>
      <color theme="1"/>
      <name val="Calibri"/>
      <family val="2"/>
      <charset val="186"/>
      <scheme val="minor"/>
    </font>
    <font>
      <b/>
      <sz val="12"/>
      <color theme="1"/>
      <name val="Calibri"/>
      <family val="2"/>
      <charset val="186"/>
      <scheme val="minor"/>
    </font>
    <font>
      <sz val="12"/>
      <name val="Calibri"/>
      <family val="2"/>
      <charset val="186"/>
      <scheme val="minor"/>
    </font>
    <font>
      <sz val="12"/>
      <color rgb="FF000000"/>
      <name val="Calibri"/>
      <family val="2"/>
      <charset val="186"/>
      <scheme val="minor"/>
    </font>
    <font>
      <b/>
      <sz val="12"/>
      <name val="Calibri"/>
      <family val="2"/>
      <charset val="186"/>
      <scheme val="minor"/>
    </font>
    <font>
      <b/>
      <sz val="12"/>
      <color rgb="FF000000"/>
      <name val="Calibri"/>
      <family val="2"/>
      <charset val="186"/>
      <scheme val="minor"/>
    </font>
    <font>
      <sz val="11"/>
      <name val="Calibri"/>
      <family val="2"/>
      <charset val="186"/>
    </font>
    <font>
      <sz val="12"/>
      <color rgb="FF000000"/>
      <name val="Calibri"/>
      <family val="2"/>
      <charset val="186"/>
    </font>
    <font>
      <b/>
      <sz val="12"/>
      <color rgb="FF000000"/>
      <name val="Calibri"/>
      <family val="2"/>
      <charset val="186"/>
    </font>
    <font>
      <b/>
      <sz val="12"/>
      <name val="Calibri"/>
      <family val="2"/>
      <charset val="186"/>
    </font>
    <font>
      <sz val="12"/>
      <name val="Calibri"/>
      <family val="2"/>
      <charset val="186"/>
    </font>
    <font>
      <sz val="10"/>
      <name val="Arial"/>
      <family val="2"/>
      <charset val="186"/>
    </font>
    <font>
      <b/>
      <sz val="22"/>
      <color rgb="FFFF0000"/>
      <name val="Calibri"/>
      <family val="2"/>
      <charset val="186"/>
    </font>
    <font>
      <b/>
      <sz val="28"/>
      <color rgb="FFFF0000"/>
      <name val="Calibri"/>
      <family val="2"/>
      <charset val="186"/>
    </font>
  </fonts>
  <fills count="9">
    <fill>
      <patternFill patternType="none"/>
    </fill>
    <fill>
      <patternFill patternType="gray125"/>
    </fill>
    <fill>
      <patternFill patternType="solid">
        <fgColor theme="7" tint="0.79998168889431442"/>
        <bgColor indexed="65"/>
      </patternFill>
    </fill>
    <fill>
      <patternFill patternType="solid">
        <fgColor theme="9" tint="0.79998168889431442"/>
        <bgColor rgb="FFD6E3B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rgb="FFFFFF00"/>
      </patternFill>
    </fill>
  </fills>
  <borders count="2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3" fillId="0" borderId="0"/>
    <xf numFmtId="0" fontId="15" fillId="0" borderId="0"/>
  </cellStyleXfs>
  <cellXfs count="171">
    <xf numFmtId="0" fontId="0" fillId="0" borderId="0" xfId="0"/>
    <xf numFmtId="0" fontId="4" fillId="3" borderId="1" xfId="2" applyFont="1" applyFill="1" applyBorder="1" applyAlignment="1">
      <alignment horizontal="center" vertical="center" wrapText="1"/>
    </xf>
    <xf numFmtId="0" fontId="4" fillId="3" borderId="11" xfId="2" applyFont="1" applyFill="1" applyBorder="1" applyAlignment="1">
      <alignment horizontal="center" vertical="center" wrapText="1"/>
    </xf>
    <xf numFmtId="0" fontId="6" fillId="6" borderId="5" xfId="1" applyFont="1" applyFill="1" applyBorder="1" applyAlignment="1">
      <alignment horizontal="center" wrapText="1"/>
    </xf>
    <xf numFmtId="0" fontId="6" fillId="6" borderId="5" xfId="1" applyFont="1" applyFill="1" applyBorder="1" applyAlignment="1">
      <alignment vertical="center" wrapText="1"/>
    </xf>
    <xf numFmtId="0" fontId="7" fillId="0" borderId="0" xfId="0" applyFont="1"/>
    <xf numFmtId="0" fontId="6" fillId="6" borderId="5" xfId="0" applyFont="1" applyFill="1" applyBorder="1" applyAlignment="1">
      <alignment horizontal="center" vertical="top"/>
    </xf>
    <xf numFmtId="0" fontId="6" fillId="7" borderId="5" xfId="0" applyFont="1" applyFill="1" applyBorder="1" applyAlignment="1">
      <alignment horizontal="center" vertical="top"/>
    </xf>
    <xf numFmtId="0" fontId="6" fillId="3" borderId="5" xfId="0" applyFont="1" applyFill="1" applyBorder="1" applyAlignment="1">
      <alignment horizontal="center" vertical="center" wrapText="1"/>
    </xf>
    <xf numFmtId="1" fontId="6" fillId="7" borderId="5" xfId="0" applyNumberFormat="1" applyFont="1" applyFill="1" applyBorder="1" applyAlignment="1">
      <alignment horizontal="center" vertical="top"/>
    </xf>
    <xf numFmtId="0" fontId="6" fillId="6" borderId="5" xfId="0" applyFont="1" applyFill="1" applyBorder="1" applyAlignment="1">
      <alignment horizontal="center"/>
    </xf>
    <xf numFmtId="0" fontId="4" fillId="3" borderId="6" xfId="2" applyFont="1" applyFill="1" applyBorder="1" applyAlignment="1">
      <alignment horizontal="center" vertical="center" wrapText="1"/>
    </xf>
    <xf numFmtId="0" fontId="4" fillId="3" borderId="5" xfId="2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6" fillId="6" borderId="5" xfId="1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6" borderId="5" xfId="1" applyFont="1" applyFill="1" applyBorder="1" applyAlignment="1">
      <alignment horizontal="left" vertical="center" wrapText="1"/>
    </xf>
    <xf numFmtId="0" fontId="4" fillId="3" borderId="21" xfId="2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/>
    </xf>
    <xf numFmtId="1" fontId="6" fillId="7" borderId="5" xfId="0" applyNumberFormat="1" applyFont="1" applyFill="1" applyBorder="1" applyAlignment="1">
      <alignment horizontal="center" vertical="center"/>
    </xf>
    <xf numFmtId="0" fontId="4" fillId="3" borderId="5" xfId="2" applyFont="1" applyFill="1" applyBorder="1" applyAlignment="1">
      <alignment horizontal="center" vertical="center" wrapText="1"/>
    </xf>
    <xf numFmtId="0" fontId="11" fillId="4" borderId="5" xfId="0" applyFont="1" applyFill="1" applyBorder="1"/>
    <xf numFmtId="0" fontId="2" fillId="0" borderId="0" xfId="0" applyFont="1" applyAlignment="1"/>
    <xf numFmtId="0" fontId="5" fillId="4" borderId="5" xfId="0" applyFont="1" applyFill="1" applyBorder="1" applyAlignment="1">
      <alignment vertical="center"/>
    </xf>
    <xf numFmtId="0" fontId="5" fillId="4" borderId="12" xfId="0" applyFont="1" applyFill="1" applyBorder="1" applyAlignment="1">
      <alignment vertical="center"/>
    </xf>
    <xf numFmtId="0" fontId="5" fillId="4" borderId="14" xfId="0" applyFont="1" applyFill="1" applyBorder="1" applyAlignment="1">
      <alignment vertical="center"/>
    </xf>
    <xf numFmtId="0" fontId="5" fillId="4" borderId="13" xfId="0" applyFont="1" applyFill="1" applyBorder="1" applyAlignment="1">
      <alignment vertical="center"/>
    </xf>
    <xf numFmtId="0" fontId="5" fillId="4" borderId="15" xfId="0" applyFont="1" applyFill="1" applyBorder="1" applyAlignment="1">
      <alignment vertical="center"/>
    </xf>
    <xf numFmtId="0" fontId="5" fillId="4" borderId="16" xfId="0" applyFont="1" applyFill="1" applyBorder="1" applyAlignment="1">
      <alignment vertical="center"/>
    </xf>
    <xf numFmtId="0" fontId="5" fillId="4" borderId="17" xfId="0" applyFont="1" applyFill="1" applyBorder="1" applyAlignment="1">
      <alignment vertical="center"/>
    </xf>
    <xf numFmtId="0" fontId="11" fillId="0" borderId="0" xfId="0" applyFont="1"/>
    <xf numFmtId="0" fontId="0" fillId="0" borderId="0" xfId="0" applyAlignment="1"/>
    <xf numFmtId="0" fontId="4" fillId="3" borderId="23" xfId="2" applyFont="1" applyFill="1" applyBorder="1" applyAlignment="1">
      <alignment horizontal="center" vertical="center" wrapText="1"/>
    </xf>
    <xf numFmtId="0" fontId="4" fillId="3" borderId="23" xfId="2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/>
    <xf numFmtId="2" fontId="6" fillId="7" borderId="5" xfId="0" applyNumberFormat="1" applyFont="1" applyFill="1" applyBorder="1" applyAlignment="1">
      <alignment horizontal="center" vertical="center"/>
    </xf>
    <xf numFmtId="164" fontId="6" fillId="7" borderId="5" xfId="0" applyNumberFormat="1" applyFont="1" applyFill="1" applyBorder="1" applyAlignment="1">
      <alignment horizontal="center" vertical="center"/>
    </xf>
    <xf numFmtId="0" fontId="4" fillId="3" borderId="5" xfId="2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left" vertical="center"/>
    </xf>
    <xf numFmtId="0" fontId="12" fillId="0" borderId="0" xfId="0" applyFont="1" applyAlignment="1">
      <alignment vertical="center"/>
    </xf>
    <xf numFmtId="1" fontId="7" fillId="0" borderId="0" xfId="0" applyNumberFormat="1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left" vertical="center"/>
    </xf>
    <xf numFmtId="1" fontId="6" fillId="6" borderId="5" xfId="0" applyNumberFormat="1" applyFont="1" applyFill="1" applyBorder="1" applyAlignment="1">
      <alignment horizontal="center" vertical="center"/>
    </xf>
    <xf numFmtId="0" fontId="6" fillId="7" borderId="5" xfId="1" applyFont="1" applyFill="1" applyBorder="1" applyAlignment="1">
      <alignment horizontal="center" wrapText="1"/>
    </xf>
    <xf numFmtId="1" fontId="6" fillId="7" borderId="5" xfId="1" applyNumberFormat="1" applyFont="1" applyFill="1" applyBorder="1" applyAlignment="1">
      <alignment horizontal="center" wrapText="1"/>
    </xf>
    <xf numFmtId="0" fontId="6" fillId="7" borderId="5" xfId="1" applyFont="1" applyFill="1" applyBorder="1" applyAlignment="1">
      <alignment horizontal="center" vertical="center" wrapText="1"/>
    </xf>
    <xf numFmtId="1" fontId="6" fillId="7" borderId="5" xfId="1" applyNumberFormat="1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/>
    </xf>
    <xf numFmtId="1" fontId="8" fillId="5" borderId="5" xfId="0" applyNumberFormat="1" applyFont="1" applyFill="1" applyBorder="1" applyAlignment="1">
      <alignment horizontal="center" vertical="center"/>
    </xf>
    <xf numFmtId="0" fontId="6" fillId="7" borderId="5" xfId="0" applyFont="1" applyFill="1" applyBorder="1" applyAlignment="1">
      <alignment horizontal="center"/>
    </xf>
    <xf numFmtId="1" fontId="6" fillId="7" borderId="5" xfId="0" applyNumberFormat="1" applyFont="1" applyFill="1" applyBorder="1" applyAlignment="1">
      <alignment horizontal="center"/>
    </xf>
    <xf numFmtId="0" fontId="6" fillId="7" borderId="5" xfId="0" applyFont="1" applyFill="1" applyBorder="1" applyAlignment="1">
      <alignment horizontal="center" vertical="center"/>
    </xf>
    <xf numFmtId="1" fontId="14" fillId="0" borderId="5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1" fontId="6" fillId="7" borderId="12" xfId="0" applyNumberFormat="1" applyFont="1" applyFill="1" applyBorder="1" applyAlignment="1">
      <alignment horizontal="center" vertical="center"/>
    </xf>
    <xf numFmtId="1" fontId="14" fillId="7" borderId="5" xfId="0" applyNumberFormat="1" applyFont="1" applyFill="1" applyBorder="1" applyAlignment="1">
      <alignment horizontal="center" vertical="center"/>
    </xf>
    <xf numFmtId="0" fontId="14" fillId="7" borderId="5" xfId="0" applyFont="1" applyFill="1" applyBorder="1" applyAlignment="1">
      <alignment horizontal="center" vertical="center"/>
    </xf>
    <xf numFmtId="1" fontId="8" fillId="5" borderId="12" xfId="0" applyNumberFormat="1" applyFont="1" applyFill="1" applyBorder="1" applyAlignment="1">
      <alignment horizontal="center" vertical="center"/>
    </xf>
    <xf numFmtId="1" fontId="13" fillId="5" borderId="5" xfId="0" applyNumberFormat="1" applyFont="1" applyFill="1" applyBorder="1" applyAlignment="1">
      <alignment horizontal="center" vertical="center"/>
    </xf>
    <xf numFmtId="1" fontId="6" fillId="0" borderId="5" xfId="0" applyNumberFormat="1" applyFont="1" applyBorder="1" applyAlignment="1">
      <alignment horizontal="center" vertical="center"/>
    </xf>
    <xf numFmtId="1" fontId="14" fillId="6" borderId="5" xfId="0" applyNumberFormat="1" applyFont="1" applyFill="1" applyBorder="1" applyAlignment="1">
      <alignment horizontal="center" vertical="center"/>
    </xf>
    <xf numFmtId="164" fontId="6" fillId="6" borderId="5" xfId="0" applyNumberFormat="1" applyFont="1" applyFill="1" applyBorder="1" applyAlignment="1">
      <alignment horizontal="center"/>
    </xf>
    <xf numFmtId="164" fontId="6" fillId="7" borderId="5" xfId="0" applyNumberFormat="1" applyFont="1" applyFill="1" applyBorder="1" applyAlignment="1">
      <alignment horizontal="center"/>
    </xf>
    <xf numFmtId="164" fontId="8" fillId="5" borderId="5" xfId="0" applyNumberFormat="1" applyFont="1" applyFill="1" applyBorder="1" applyAlignment="1">
      <alignment horizontal="center" vertical="center"/>
    </xf>
    <xf numFmtId="1" fontId="6" fillId="6" borderId="5" xfId="0" applyNumberFormat="1" applyFont="1" applyFill="1" applyBorder="1" applyAlignment="1">
      <alignment horizontal="center"/>
    </xf>
    <xf numFmtId="2" fontId="6" fillId="6" borderId="5" xfId="0" applyNumberFormat="1" applyFont="1" applyFill="1" applyBorder="1" applyAlignment="1">
      <alignment horizontal="center"/>
    </xf>
    <xf numFmtId="2" fontId="6" fillId="7" borderId="5" xfId="0" applyNumberFormat="1" applyFont="1" applyFill="1" applyBorder="1" applyAlignment="1">
      <alignment horizontal="center"/>
    </xf>
    <xf numFmtId="2" fontId="6" fillId="6" borderId="5" xfId="0" applyNumberFormat="1" applyFont="1" applyFill="1" applyBorder="1" applyAlignment="1">
      <alignment horizontal="center" vertical="center"/>
    </xf>
    <xf numFmtId="2" fontId="8" fillId="5" borderId="5" xfId="0" applyNumberFormat="1" applyFont="1" applyFill="1" applyBorder="1" applyAlignment="1">
      <alignment horizontal="center" vertical="center"/>
    </xf>
    <xf numFmtId="164" fontId="6" fillId="6" borderId="5" xfId="1" applyNumberFormat="1" applyFont="1" applyFill="1" applyBorder="1" applyAlignment="1">
      <alignment horizontal="center" vertical="center" wrapText="1"/>
    </xf>
    <xf numFmtId="164" fontId="14" fillId="0" borderId="5" xfId="0" applyNumberFormat="1" applyFont="1" applyBorder="1" applyAlignment="1">
      <alignment horizontal="center" vertical="center"/>
    </xf>
    <xf numFmtId="164" fontId="14" fillId="7" borderId="5" xfId="0" applyNumberFormat="1" applyFont="1" applyFill="1" applyBorder="1" applyAlignment="1">
      <alignment horizontal="center" vertical="center"/>
    </xf>
    <xf numFmtId="164" fontId="13" fillId="5" borderId="5" xfId="0" applyNumberFormat="1" applyFont="1" applyFill="1" applyBorder="1" applyAlignment="1">
      <alignment horizontal="center" vertical="center"/>
    </xf>
    <xf numFmtId="0" fontId="7" fillId="6" borderId="26" xfId="0" applyFont="1" applyFill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1" fontId="6" fillId="6" borderId="12" xfId="0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164" fontId="6" fillId="0" borderId="5" xfId="0" applyNumberFormat="1" applyFont="1" applyBorder="1" applyAlignment="1">
      <alignment horizontal="center" vertical="center"/>
    </xf>
    <xf numFmtId="1" fontId="14" fillId="0" borderId="26" xfId="0" applyNumberFormat="1" applyFont="1" applyBorder="1" applyAlignment="1">
      <alignment horizontal="center" vertical="center"/>
    </xf>
    <xf numFmtId="1" fontId="14" fillId="8" borderId="26" xfId="0" applyNumberFormat="1" applyFont="1" applyFill="1" applyBorder="1" applyAlignment="1">
      <alignment horizontal="center" vertical="center"/>
    </xf>
    <xf numFmtId="0" fontId="10" fillId="0" borderId="0" xfId="0" applyFont="1"/>
    <xf numFmtId="1" fontId="14" fillId="6" borderId="26" xfId="0" applyNumberFormat="1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164" fontId="14" fillId="6" borderId="5" xfId="0" applyNumberFormat="1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164" fontId="8" fillId="5" borderId="12" xfId="0" applyNumberFormat="1" applyFont="1" applyFill="1" applyBorder="1" applyAlignment="1">
      <alignment horizontal="center" vertical="center"/>
    </xf>
    <xf numFmtId="0" fontId="4" fillId="3" borderId="23" xfId="2" applyFont="1" applyFill="1" applyBorder="1" applyAlignment="1">
      <alignment horizontal="center" vertical="center"/>
    </xf>
    <xf numFmtId="0" fontId="16" fillId="0" borderId="0" xfId="0" applyFont="1"/>
    <xf numFmtId="0" fontId="17" fillId="0" borderId="0" xfId="0" applyFont="1"/>
    <xf numFmtId="0" fontId="14" fillId="6" borderId="0" xfId="0" applyFont="1" applyFill="1" applyAlignment="1">
      <alignment horizontal="center" vertical="center"/>
    </xf>
    <xf numFmtId="164" fontId="14" fillId="6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3" borderId="1" xfId="2" applyFont="1" applyFill="1" applyBorder="1" applyAlignment="1">
      <alignment horizontal="center" vertical="center" wrapText="1"/>
    </xf>
    <xf numFmtId="0" fontId="4" fillId="3" borderId="6" xfId="2" applyFont="1" applyFill="1" applyBorder="1" applyAlignment="1">
      <alignment horizontal="center" vertical="center" wrapText="1"/>
    </xf>
    <xf numFmtId="0" fontId="4" fillId="3" borderId="10" xfId="2" applyFont="1" applyFill="1" applyBorder="1" applyAlignment="1">
      <alignment horizontal="center" vertical="center" wrapText="1"/>
    </xf>
    <xf numFmtId="0" fontId="4" fillId="3" borderId="2" xfId="2" applyFont="1" applyFill="1" applyBorder="1" applyAlignment="1">
      <alignment horizontal="center" vertical="center" wrapText="1"/>
    </xf>
    <xf numFmtId="0" fontId="4" fillId="3" borderId="3" xfId="2" applyFont="1" applyFill="1" applyBorder="1" applyAlignment="1">
      <alignment horizontal="center" vertical="center" wrapText="1"/>
    </xf>
    <xf numFmtId="0" fontId="4" fillId="3" borderId="4" xfId="2" applyFont="1" applyFill="1" applyBorder="1" applyAlignment="1">
      <alignment horizontal="center" vertical="center" wrapText="1"/>
    </xf>
    <xf numFmtId="0" fontId="4" fillId="3" borderId="7" xfId="2" applyFont="1" applyFill="1" applyBorder="1" applyAlignment="1">
      <alignment horizontal="center" vertical="center" wrapText="1"/>
    </xf>
    <xf numFmtId="0" fontId="4" fillId="3" borderId="8" xfId="2" applyFont="1" applyFill="1" applyBorder="1" applyAlignment="1">
      <alignment horizontal="center" vertical="center" wrapText="1"/>
    </xf>
    <xf numFmtId="0" fontId="4" fillId="3" borderId="9" xfId="2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5" borderId="12" xfId="1" applyFont="1" applyFill="1" applyBorder="1" applyAlignment="1">
      <alignment horizontal="right" vertical="center" wrapText="1"/>
    </xf>
    <xf numFmtId="0" fontId="8" fillId="5" borderId="13" xfId="1" applyFont="1" applyFill="1" applyBorder="1" applyAlignment="1">
      <alignment horizontal="right" vertical="center" wrapText="1"/>
    </xf>
    <xf numFmtId="0" fontId="6" fillId="7" borderId="12" xfId="1" applyFont="1" applyFill="1" applyBorder="1" applyAlignment="1">
      <alignment horizontal="right" wrapText="1"/>
    </xf>
    <xf numFmtId="0" fontId="6" fillId="7" borderId="13" xfId="1" applyFont="1" applyFill="1" applyBorder="1" applyAlignment="1">
      <alignment horizontal="right" wrapText="1"/>
    </xf>
    <xf numFmtId="0" fontId="6" fillId="7" borderId="12" xfId="1" applyFont="1" applyFill="1" applyBorder="1" applyAlignment="1">
      <alignment horizontal="right" vertical="center"/>
    </xf>
    <xf numFmtId="0" fontId="6" fillId="7" borderId="13" xfId="1" applyFont="1" applyFill="1" applyBorder="1" applyAlignment="1">
      <alignment horizontal="right" vertical="center"/>
    </xf>
    <xf numFmtId="0" fontId="5" fillId="4" borderId="5" xfId="0" applyFont="1" applyFill="1" applyBorder="1" applyAlignment="1">
      <alignment horizontal="left"/>
    </xf>
    <xf numFmtId="0" fontId="4" fillId="3" borderId="5" xfId="2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/>
    <xf numFmtId="0" fontId="8" fillId="5" borderId="14" xfId="1" applyFont="1" applyFill="1" applyBorder="1" applyAlignment="1">
      <alignment horizontal="right" vertical="center" wrapText="1"/>
    </xf>
    <xf numFmtId="0" fontId="9" fillId="0" borderId="0" xfId="0" applyFont="1" applyAlignment="1">
      <alignment horizontal="center"/>
    </xf>
    <xf numFmtId="0" fontId="6" fillId="3" borderId="15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 wrapText="1"/>
    </xf>
    <xf numFmtId="0" fontId="6" fillId="7" borderId="5" xfId="0" applyFont="1" applyFill="1" applyBorder="1" applyAlignment="1">
      <alignment horizontal="right"/>
    </xf>
    <xf numFmtId="0" fontId="8" fillId="4" borderId="5" xfId="0" applyFont="1" applyFill="1" applyBorder="1" applyAlignment="1">
      <alignment horizontal="left"/>
    </xf>
    <xf numFmtId="0" fontId="4" fillId="3" borderId="12" xfId="2" applyFont="1" applyFill="1" applyBorder="1" applyAlignment="1">
      <alignment horizontal="center" vertical="center" wrapText="1"/>
    </xf>
    <xf numFmtId="0" fontId="4" fillId="3" borderId="13" xfId="2" applyFont="1" applyFill="1" applyBorder="1" applyAlignment="1">
      <alignment horizontal="center" vertical="center" wrapText="1"/>
    </xf>
    <xf numFmtId="0" fontId="4" fillId="3" borderId="17" xfId="2" applyFont="1" applyFill="1" applyBorder="1" applyAlignment="1">
      <alignment horizontal="center" vertical="center" wrapText="1"/>
    </xf>
    <xf numFmtId="0" fontId="4" fillId="3" borderId="20" xfId="2" applyFont="1" applyFill="1" applyBorder="1" applyAlignment="1">
      <alignment horizontal="center" vertical="center" wrapText="1"/>
    </xf>
    <xf numFmtId="0" fontId="4" fillId="3" borderId="15" xfId="2" applyFont="1" applyFill="1" applyBorder="1" applyAlignment="1">
      <alignment horizontal="center" vertical="center" wrapText="1"/>
    </xf>
    <xf numFmtId="0" fontId="4" fillId="3" borderId="16" xfId="2" applyFont="1" applyFill="1" applyBorder="1" applyAlignment="1">
      <alignment horizontal="center" vertical="center" wrapText="1"/>
    </xf>
    <xf numFmtId="0" fontId="4" fillId="3" borderId="18" xfId="2" applyFont="1" applyFill="1" applyBorder="1" applyAlignment="1">
      <alignment horizontal="center" vertical="center" wrapText="1"/>
    </xf>
    <xf numFmtId="0" fontId="4" fillId="3" borderId="19" xfId="2" applyFont="1" applyFill="1" applyBorder="1" applyAlignment="1">
      <alignment horizontal="center" vertical="center" wrapText="1"/>
    </xf>
    <xf numFmtId="0" fontId="6" fillId="7" borderId="12" xfId="1" applyFont="1" applyFill="1" applyBorder="1" applyAlignment="1">
      <alignment horizontal="right" vertical="center" wrapText="1"/>
    </xf>
    <xf numFmtId="0" fontId="6" fillId="7" borderId="13" xfId="1" applyFont="1" applyFill="1" applyBorder="1" applyAlignment="1">
      <alignment horizontal="right" vertical="center" wrapText="1"/>
    </xf>
    <xf numFmtId="0" fontId="5" fillId="4" borderId="12" xfId="0" applyFont="1" applyFill="1" applyBorder="1" applyAlignment="1">
      <alignment horizontal="left" vertical="center"/>
    </xf>
    <xf numFmtId="0" fontId="5" fillId="4" borderId="14" xfId="0" applyFont="1" applyFill="1" applyBorder="1" applyAlignment="1">
      <alignment horizontal="left" vertical="center"/>
    </xf>
    <xf numFmtId="0" fontId="5" fillId="4" borderId="13" xfId="0" applyFont="1" applyFill="1" applyBorder="1" applyAlignment="1">
      <alignment horizontal="left" vertical="center"/>
    </xf>
    <xf numFmtId="0" fontId="12" fillId="0" borderId="0" xfId="0" applyFont="1" applyAlignment="1">
      <alignment horizontal="center"/>
    </xf>
    <xf numFmtId="0" fontId="4" fillId="3" borderId="14" xfId="2" applyFont="1" applyFill="1" applyBorder="1" applyAlignment="1">
      <alignment horizontal="center" vertical="center" wrapText="1"/>
    </xf>
    <xf numFmtId="0" fontId="4" fillId="3" borderId="23" xfId="2" applyFont="1" applyFill="1" applyBorder="1" applyAlignment="1">
      <alignment horizontal="center" vertical="center" wrapText="1"/>
    </xf>
    <xf numFmtId="0" fontId="4" fillId="3" borderId="24" xfId="2" applyFont="1" applyFill="1" applyBorder="1" applyAlignment="1">
      <alignment horizontal="center" vertical="center" wrapText="1"/>
    </xf>
    <xf numFmtId="0" fontId="4" fillId="3" borderId="21" xfId="2" applyFont="1" applyFill="1" applyBorder="1" applyAlignment="1">
      <alignment horizontal="center" vertical="center" wrapText="1"/>
    </xf>
    <xf numFmtId="0" fontId="4" fillId="3" borderId="0" xfId="2" applyFont="1" applyFill="1" applyBorder="1" applyAlignment="1">
      <alignment horizontal="center" vertical="center" wrapText="1"/>
    </xf>
    <xf numFmtId="0" fontId="4" fillId="3" borderId="22" xfId="2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4" fillId="3" borderId="27" xfId="2" applyFont="1" applyFill="1" applyBorder="1" applyAlignment="1">
      <alignment horizontal="center" vertical="center" wrapText="1"/>
    </xf>
    <xf numFmtId="0" fontId="4" fillId="3" borderId="25" xfId="2" applyFont="1" applyFill="1" applyBorder="1" applyAlignment="1">
      <alignment horizontal="center" vertical="center" wrapText="1"/>
    </xf>
    <xf numFmtId="1" fontId="8" fillId="5" borderId="12" xfId="1" applyNumberFormat="1" applyFont="1" applyFill="1" applyBorder="1" applyAlignment="1">
      <alignment horizontal="right" vertical="center" wrapText="1"/>
    </xf>
    <xf numFmtId="1" fontId="8" fillId="5" borderId="13" xfId="1" applyNumberFormat="1" applyFont="1" applyFill="1" applyBorder="1" applyAlignment="1">
      <alignment horizontal="right" vertical="center" wrapText="1"/>
    </xf>
    <xf numFmtId="1" fontId="6" fillId="7" borderId="12" xfId="1" applyNumberFormat="1" applyFont="1" applyFill="1" applyBorder="1" applyAlignment="1">
      <alignment horizontal="right" vertical="center"/>
    </xf>
    <xf numFmtId="1" fontId="6" fillId="7" borderId="13" xfId="1" applyNumberFormat="1" applyFont="1" applyFill="1" applyBorder="1" applyAlignment="1">
      <alignment horizontal="right" vertical="center"/>
    </xf>
    <xf numFmtId="1" fontId="6" fillId="7" borderId="12" xfId="1" applyNumberFormat="1" applyFont="1" applyFill="1" applyBorder="1" applyAlignment="1">
      <alignment horizontal="right" wrapText="1"/>
    </xf>
    <xf numFmtId="1" fontId="6" fillId="7" borderId="13" xfId="1" applyNumberFormat="1" applyFont="1" applyFill="1" applyBorder="1" applyAlignment="1">
      <alignment horizontal="right" wrapText="1"/>
    </xf>
    <xf numFmtId="0" fontId="5" fillId="4" borderId="15" xfId="0" applyFont="1" applyFill="1" applyBorder="1" applyAlignment="1">
      <alignment horizontal="left" vertical="center"/>
    </xf>
    <xf numFmtId="0" fontId="5" fillId="4" borderId="16" xfId="0" applyFont="1" applyFill="1" applyBorder="1" applyAlignment="1">
      <alignment horizontal="left" vertical="center"/>
    </xf>
    <xf numFmtId="0" fontId="5" fillId="4" borderId="17" xfId="0" applyFont="1" applyFill="1" applyBorder="1" applyAlignment="1">
      <alignment horizontal="left" vertical="center"/>
    </xf>
    <xf numFmtId="1" fontId="6" fillId="7" borderId="5" xfId="1" applyNumberFormat="1" applyFont="1" applyFill="1" applyBorder="1" applyAlignment="1">
      <alignment horizontal="right" wrapText="1"/>
    </xf>
    <xf numFmtId="0" fontId="5" fillId="4" borderId="5" xfId="0" applyFont="1" applyFill="1" applyBorder="1" applyAlignment="1">
      <alignment horizontal="left" vertical="center"/>
    </xf>
    <xf numFmtId="0" fontId="6" fillId="7" borderId="5" xfId="1" applyFont="1" applyFill="1" applyBorder="1" applyAlignment="1">
      <alignment horizontal="right" vertical="center"/>
    </xf>
    <xf numFmtId="0" fontId="8" fillId="5" borderId="5" xfId="1" applyFont="1" applyFill="1" applyBorder="1" applyAlignment="1">
      <alignment horizontal="right" vertical="center" wrapText="1"/>
    </xf>
    <xf numFmtId="0" fontId="6" fillId="7" borderId="5" xfId="1" applyFont="1" applyFill="1" applyBorder="1" applyAlignment="1">
      <alignment horizontal="right" wrapText="1"/>
    </xf>
    <xf numFmtId="0" fontId="7" fillId="4" borderId="12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/>
    </xf>
    <xf numFmtId="0" fontId="7" fillId="4" borderId="23" xfId="0" applyFont="1" applyFill="1" applyBorder="1" applyAlignment="1">
      <alignment horizontal="center" vertical="center" wrapText="1"/>
    </xf>
    <xf numFmtId="0" fontId="7" fillId="4" borderId="27" xfId="0" applyFont="1" applyFill="1" applyBorder="1" applyAlignment="1">
      <alignment horizontal="center" vertical="center" wrapText="1"/>
    </xf>
    <xf numFmtId="0" fontId="7" fillId="4" borderId="24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</cellXfs>
  <cellStyles count="4">
    <cellStyle name="20% – paryškinimas 4" xfId="1" builtinId="42"/>
    <cellStyle name="Įprastas" xfId="0" builtinId="0" customBuiltin="1"/>
    <cellStyle name="Įprastas 2" xfId="2"/>
    <cellStyle name="Įprastas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30</xdr:row>
      <xdr:rowOff>12307</xdr:rowOff>
    </xdr:from>
    <xdr:to>
      <xdr:col>8</xdr:col>
      <xdr:colOff>93407</xdr:colOff>
      <xdr:row>49</xdr:row>
      <xdr:rowOff>161924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" y="6289282"/>
          <a:ext cx="5532183" cy="3769117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29</xdr:row>
      <xdr:rowOff>188265</xdr:rowOff>
    </xdr:from>
    <xdr:to>
      <xdr:col>17</xdr:col>
      <xdr:colOff>142875</xdr:colOff>
      <xdr:row>49</xdr:row>
      <xdr:rowOff>162852</xdr:rowOff>
    </xdr:to>
    <xdr:pic>
      <xdr:nvPicPr>
        <xdr:cNvPr id="4" name="Paveikslėlis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48325" y="6274740"/>
          <a:ext cx="5629275" cy="378458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26</xdr:row>
      <xdr:rowOff>9525</xdr:rowOff>
    </xdr:from>
    <xdr:to>
      <xdr:col>6</xdr:col>
      <xdr:colOff>424307</xdr:colOff>
      <xdr:row>45</xdr:row>
      <xdr:rowOff>0</xdr:rowOff>
    </xdr:to>
    <xdr:pic>
      <xdr:nvPicPr>
        <xdr:cNvPr id="6" name="Paveikslėlis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5781675"/>
          <a:ext cx="5091557" cy="3609975"/>
        </a:xfrm>
        <a:prstGeom prst="rect">
          <a:avLst/>
        </a:prstGeom>
      </xdr:spPr>
    </xdr:pic>
    <xdr:clientData/>
  </xdr:twoCellAnchor>
  <xdr:twoCellAnchor editAs="oneCell">
    <xdr:from>
      <xdr:col>6</xdr:col>
      <xdr:colOff>533399</xdr:colOff>
      <xdr:row>26</xdr:row>
      <xdr:rowOff>13664</xdr:rowOff>
    </xdr:from>
    <xdr:to>
      <xdr:col>15</xdr:col>
      <xdr:colOff>140133</xdr:colOff>
      <xdr:row>44</xdr:row>
      <xdr:rowOff>190499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19699" y="5785814"/>
          <a:ext cx="5093134" cy="360583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25</xdr:row>
      <xdr:rowOff>190499</xdr:rowOff>
    </xdr:from>
    <xdr:to>
      <xdr:col>7</xdr:col>
      <xdr:colOff>265543</xdr:colOff>
      <xdr:row>44</xdr:row>
      <xdr:rowOff>9524</xdr:rowOff>
    </xdr:to>
    <xdr:pic>
      <xdr:nvPicPr>
        <xdr:cNvPr id="5" name="Paveikslėlis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5753099"/>
          <a:ext cx="5885293" cy="3438525"/>
        </a:xfrm>
        <a:prstGeom prst="rect">
          <a:avLst/>
        </a:prstGeom>
      </xdr:spPr>
    </xdr:pic>
    <xdr:clientData/>
  </xdr:twoCellAnchor>
  <xdr:twoCellAnchor editAs="oneCell">
    <xdr:from>
      <xdr:col>7</xdr:col>
      <xdr:colOff>338200</xdr:colOff>
      <xdr:row>26</xdr:row>
      <xdr:rowOff>9524</xdr:rowOff>
    </xdr:from>
    <xdr:to>
      <xdr:col>17</xdr:col>
      <xdr:colOff>175118</xdr:colOff>
      <xdr:row>44</xdr:row>
      <xdr:rowOff>19049</xdr:rowOff>
    </xdr:to>
    <xdr:pic>
      <xdr:nvPicPr>
        <xdr:cNvPr id="6" name="Paveikslėlis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67475" y="5762624"/>
          <a:ext cx="5885293" cy="34385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27</xdr:row>
      <xdr:rowOff>9526</xdr:rowOff>
    </xdr:from>
    <xdr:to>
      <xdr:col>7</xdr:col>
      <xdr:colOff>27962</xdr:colOff>
      <xdr:row>44</xdr:row>
      <xdr:rowOff>9526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6162676"/>
          <a:ext cx="5542936" cy="3238500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142876</xdr:colOff>
      <xdr:row>27</xdr:row>
      <xdr:rowOff>9525</xdr:rowOff>
    </xdr:from>
    <xdr:to>
      <xdr:col>16</xdr:col>
      <xdr:colOff>9526</xdr:colOff>
      <xdr:row>44</xdr:row>
      <xdr:rowOff>9525</xdr:rowOff>
    </xdr:to>
    <xdr:pic>
      <xdr:nvPicPr>
        <xdr:cNvPr id="4" name="Paveikslėlis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86426" y="6162675"/>
          <a:ext cx="5905500" cy="32385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26</xdr:row>
      <xdr:rowOff>9525</xdr:rowOff>
    </xdr:from>
    <xdr:to>
      <xdr:col>6</xdr:col>
      <xdr:colOff>466725</xdr:colOff>
      <xdr:row>43</xdr:row>
      <xdr:rowOff>15449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6105525"/>
          <a:ext cx="5553075" cy="3244424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26</xdr:row>
      <xdr:rowOff>0</xdr:rowOff>
    </xdr:from>
    <xdr:to>
      <xdr:col>14</xdr:col>
      <xdr:colOff>564696</xdr:colOff>
      <xdr:row>43</xdr:row>
      <xdr:rowOff>0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05475" y="6115050"/>
          <a:ext cx="5898696" cy="32385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26</xdr:row>
      <xdr:rowOff>9525</xdr:rowOff>
    </xdr:from>
    <xdr:to>
      <xdr:col>5</xdr:col>
      <xdr:colOff>1079670</xdr:colOff>
      <xdr:row>42</xdr:row>
      <xdr:rowOff>0</xdr:rowOff>
    </xdr:to>
    <xdr:pic>
      <xdr:nvPicPr>
        <xdr:cNvPr id="5" name="Paveikslėlis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924550"/>
          <a:ext cx="5299245" cy="3038475"/>
        </a:xfrm>
        <a:prstGeom prst="rect">
          <a:avLst/>
        </a:prstGeom>
      </xdr:spPr>
    </xdr:pic>
    <xdr:clientData/>
  </xdr:twoCellAnchor>
  <xdr:twoCellAnchor editAs="oneCell">
    <xdr:from>
      <xdr:col>12</xdr:col>
      <xdr:colOff>876300</xdr:colOff>
      <xdr:row>26</xdr:row>
      <xdr:rowOff>6378</xdr:rowOff>
    </xdr:from>
    <xdr:to>
      <xdr:col>18</xdr:col>
      <xdr:colOff>605388</xdr:colOff>
      <xdr:row>42</xdr:row>
      <xdr:rowOff>0</xdr:rowOff>
    </xdr:to>
    <xdr:pic>
      <xdr:nvPicPr>
        <xdr:cNvPr id="6" name="Paveikslėlis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72775" y="5921403"/>
          <a:ext cx="5205963" cy="30416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1181100</xdr:colOff>
      <xdr:row>26</xdr:row>
      <xdr:rowOff>9525</xdr:rowOff>
    </xdr:from>
    <xdr:to>
      <xdr:col>12</xdr:col>
      <xdr:colOff>764721</xdr:colOff>
      <xdr:row>42</xdr:row>
      <xdr:rowOff>7937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38775" y="5924550"/>
          <a:ext cx="5222421" cy="304641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25</xdr:row>
      <xdr:rowOff>9524</xdr:rowOff>
    </xdr:from>
    <xdr:to>
      <xdr:col>7</xdr:col>
      <xdr:colOff>66675</xdr:colOff>
      <xdr:row>45</xdr:row>
      <xdr:rowOff>1242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5543549"/>
          <a:ext cx="5572125" cy="3801718"/>
        </a:xfrm>
        <a:prstGeom prst="rect">
          <a:avLst/>
        </a:prstGeom>
      </xdr:spPr>
    </xdr:pic>
    <xdr:clientData/>
  </xdr:twoCellAnchor>
  <xdr:twoCellAnchor editAs="oneCell">
    <xdr:from>
      <xdr:col>7</xdr:col>
      <xdr:colOff>219075</xdr:colOff>
      <xdr:row>25</xdr:row>
      <xdr:rowOff>9526</xdr:rowOff>
    </xdr:from>
    <xdr:to>
      <xdr:col>16</xdr:col>
      <xdr:colOff>123825</xdr:colOff>
      <xdr:row>45</xdr:row>
      <xdr:rowOff>4780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43575" y="5543551"/>
          <a:ext cx="5438775" cy="3805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190266</xdr:colOff>
      <xdr:row>26</xdr:row>
      <xdr:rowOff>19050</xdr:rowOff>
    </xdr:from>
    <xdr:to>
      <xdr:col>19</xdr:col>
      <xdr:colOff>228600</xdr:colOff>
      <xdr:row>43</xdr:row>
      <xdr:rowOff>4946</xdr:rowOff>
    </xdr:to>
    <xdr:pic>
      <xdr:nvPicPr>
        <xdr:cNvPr id="9" name="Paveikslėlis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57616" y="5610225"/>
          <a:ext cx="6143859" cy="3224396"/>
        </a:xfrm>
        <a:prstGeom prst="rect">
          <a:avLst/>
        </a:prstGeom>
      </xdr:spPr>
    </xdr:pic>
    <xdr:clientData/>
  </xdr:twoCellAnchor>
  <xdr:twoCellAnchor editAs="oneCell">
    <xdr:from>
      <xdr:col>19</xdr:col>
      <xdr:colOff>323850</xdr:colOff>
      <xdr:row>26</xdr:row>
      <xdr:rowOff>16546</xdr:rowOff>
    </xdr:from>
    <xdr:to>
      <xdr:col>28</xdr:col>
      <xdr:colOff>556118</xdr:colOff>
      <xdr:row>43</xdr:row>
      <xdr:rowOff>19049</xdr:rowOff>
    </xdr:to>
    <xdr:pic>
      <xdr:nvPicPr>
        <xdr:cNvPr id="10" name="Paveikslėlis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96725" y="5607721"/>
          <a:ext cx="5547218" cy="32410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190499</xdr:rowOff>
    </xdr:from>
    <xdr:to>
      <xdr:col>8</xdr:col>
      <xdr:colOff>108192</xdr:colOff>
      <xdr:row>43</xdr:row>
      <xdr:rowOff>19050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591174"/>
          <a:ext cx="5575542" cy="32575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27</xdr:row>
      <xdr:rowOff>9525</xdr:rowOff>
    </xdr:from>
    <xdr:to>
      <xdr:col>7</xdr:col>
      <xdr:colOff>457200</xdr:colOff>
      <xdr:row>43</xdr:row>
      <xdr:rowOff>183689</xdr:rowOff>
    </xdr:to>
    <xdr:pic>
      <xdr:nvPicPr>
        <xdr:cNvPr id="6" name="Paveikslėlis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5534025"/>
          <a:ext cx="5514975" cy="322216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27</xdr:row>
      <xdr:rowOff>6273</xdr:rowOff>
    </xdr:from>
    <xdr:to>
      <xdr:col>17</xdr:col>
      <xdr:colOff>210471</xdr:colOff>
      <xdr:row>43</xdr:row>
      <xdr:rowOff>180975</xdr:rowOff>
    </xdr:to>
    <xdr:pic>
      <xdr:nvPicPr>
        <xdr:cNvPr id="7" name="Paveikslėlis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48325" y="5530773"/>
          <a:ext cx="5515896" cy="32227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25</xdr:row>
      <xdr:rowOff>180975</xdr:rowOff>
    </xdr:from>
    <xdr:to>
      <xdr:col>4</xdr:col>
      <xdr:colOff>952501</xdr:colOff>
      <xdr:row>44</xdr:row>
      <xdr:rowOff>189646</xdr:rowOff>
    </xdr:to>
    <xdr:pic>
      <xdr:nvPicPr>
        <xdr:cNvPr id="6" name="Paveikslėlis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1" y="5781675"/>
          <a:ext cx="5543550" cy="3628171"/>
        </a:xfrm>
        <a:prstGeom prst="rect">
          <a:avLst/>
        </a:prstGeom>
      </xdr:spPr>
    </xdr:pic>
    <xdr:clientData/>
  </xdr:twoCellAnchor>
  <xdr:twoCellAnchor editAs="oneCell">
    <xdr:from>
      <xdr:col>4</xdr:col>
      <xdr:colOff>1057274</xdr:colOff>
      <xdr:row>26</xdr:row>
      <xdr:rowOff>0</xdr:rowOff>
    </xdr:from>
    <xdr:to>
      <xdr:col>15</xdr:col>
      <xdr:colOff>58509</xdr:colOff>
      <xdr:row>45</xdr:row>
      <xdr:rowOff>9525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67374" y="5791200"/>
          <a:ext cx="6221185" cy="36290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25</xdr:row>
      <xdr:rowOff>190499</xdr:rowOff>
    </xdr:from>
    <xdr:to>
      <xdr:col>6</xdr:col>
      <xdr:colOff>404010</xdr:colOff>
      <xdr:row>42</xdr:row>
      <xdr:rowOff>9525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5457824"/>
          <a:ext cx="5233185" cy="3057526"/>
        </a:xfrm>
        <a:prstGeom prst="rect">
          <a:avLst/>
        </a:prstGeom>
      </xdr:spPr>
    </xdr:pic>
    <xdr:clientData/>
  </xdr:twoCellAnchor>
  <xdr:twoCellAnchor editAs="oneCell">
    <xdr:from>
      <xdr:col>6</xdr:col>
      <xdr:colOff>482774</xdr:colOff>
      <xdr:row>26</xdr:row>
      <xdr:rowOff>9524</xdr:rowOff>
    </xdr:from>
    <xdr:to>
      <xdr:col>15</xdr:col>
      <xdr:colOff>3706</xdr:colOff>
      <xdr:row>42</xdr:row>
      <xdr:rowOff>9525</xdr:rowOff>
    </xdr:to>
    <xdr:pic>
      <xdr:nvPicPr>
        <xdr:cNvPr id="5" name="Paveikslėlis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40524" y="5467349"/>
          <a:ext cx="5216882" cy="30480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32298</xdr:colOff>
      <xdr:row>25</xdr:row>
      <xdr:rowOff>0</xdr:rowOff>
    </xdr:from>
    <xdr:to>
      <xdr:col>7</xdr:col>
      <xdr:colOff>53662</xdr:colOff>
      <xdr:row>41</xdr:row>
      <xdr:rowOff>9525</xdr:rowOff>
    </xdr:to>
    <xdr:pic>
      <xdr:nvPicPr>
        <xdr:cNvPr id="5" name="Paveikslėlis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98" y="5600700"/>
          <a:ext cx="5412514" cy="3162300"/>
        </a:xfrm>
        <a:prstGeom prst="rect">
          <a:avLst/>
        </a:prstGeom>
      </xdr:spPr>
    </xdr:pic>
    <xdr:clientData/>
  </xdr:twoCellAnchor>
  <xdr:twoCellAnchor editAs="oneCell">
    <xdr:from>
      <xdr:col>0</xdr:col>
      <xdr:colOff>28075</xdr:colOff>
      <xdr:row>41</xdr:row>
      <xdr:rowOff>114300</xdr:rowOff>
    </xdr:from>
    <xdr:to>
      <xdr:col>6</xdr:col>
      <xdr:colOff>228600</xdr:colOff>
      <xdr:row>65</xdr:row>
      <xdr:rowOff>130189</xdr:rowOff>
    </xdr:to>
    <xdr:pic>
      <xdr:nvPicPr>
        <xdr:cNvPr id="6" name="Paveikslėlis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75" y="8867775"/>
          <a:ext cx="4982075" cy="4587889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25</xdr:row>
      <xdr:rowOff>7856</xdr:rowOff>
    </xdr:from>
    <xdr:to>
      <xdr:col>15</xdr:col>
      <xdr:colOff>495300</xdr:colOff>
      <xdr:row>41</xdr:row>
      <xdr:rowOff>10464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43550" y="5608556"/>
          <a:ext cx="5400675" cy="31553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27</xdr:row>
      <xdr:rowOff>12587</xdr:rowOff>
    </xdr:from>
    <xdr:to>
      <xdr:col>8</xdr:col>
      <xdr:colOff>249493</xdr:colOff>
      <xdr:row>44</xdr:row>
      <xdr:rowOff>9524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5965712"/>
          <a:ext cx="5831143" cy="340688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28</xdr:row>
      <xdr:rowOff>0</xdr:rowOff>
    </xdr:from>
    <xdr:to>
      <xdr:col>8</xdr:col>
      <xdr:colOff>63262</xdr:colOff>
      <xdr:row>46</xdr:row>
      <xdr:rowOff>19050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4" y="5981700"/>
          <a:ext cx="5721113" cy="37147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25</xdr:row>
      <xdr:rowOff>173129</xdr:rowOff>
    </xdr:from>
    <xdr:to>
      <xdr:col>7</xdr:col>
      <xdr:colOff>9525</xdr:colOff>
      <xdr:row>43</xdr:row>
      <xdr:rowOff>5249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5783354"/>
          <a:ext cx="5581650" cy="3261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31"/>
  <sheetViews>
    <sheetView topLeftCell="A16" workbookViewId="0">
      <selection activeCell="S17" sqref="S17"/>
    </sheetView>
  </sheetViews>
  <sheetFormatPr defaultRowHeight="15" x14ac:dyDescent="0.25"/>
  <cols>
    <col min="1" max="1" width="5.5703125" customWidth="1"/>
    <col min="2" max="2" width="27" customWidth="1"/>
    <col min="3" max="3" width="9" customWidth="1"/>
    <col min="4" max="4" width="8.140625" customWidth="1"/>
    <col min="5" max="5" width="8" customWidth="1"/>
    <col min="6" max="6" width="8.28515625" customWidth="1"/>
    <col min="7" max="7" width="8.42578125" customWidth="1"/>
    <col min="8" max="8" width="7.42578125" customWidth="1"/>
    <col min="9" max="9" width="7.85546875" customWidth="1"/>
    <col min="10" max="10" width="8" customWidth="1"/>
    <col min="11" max="11" width="8.5703125" customWidth="1"/>
    <col min="12" max="12" width="9.7109375" customWidth="1"/>
    <col min="13" max="13" width="8.140625" customWidth="1"/>
    <col min="14" max="14" width="10.5703125" customWidth="1"/>
    <col min="15" max="15" width="14" customWidth="1"/>
  </cols>
  <sheetData>
    <row r="2" spans="1:15" x14ac:dyDescent="0.25">
      <c r="A2" s="105" t="s">
        <v>82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</row>
    <row r="4" spans="1:15" ht="15.95" customHeight="1" x14ac:dyDescent="0.25">
      <c r="A4" s="96" t="s">
        <v>0</v>
      </c>
      <c r="B4" s="96" t="s">
        <v>1</v>
      </c>
      <c r="C4" s="99" t="s">
        <v>42</v>
      </c>
      <c r="D4" s="100"/>
      <c r="E4" s="100"/>
      <c r="F4" s="101"/>
      <c r="G4" s="99" t="s">
        <v>2</v>
      </c>
      <c r="H4" s="100"/>
      <c r="I4" s="100"/>
      <c r="J4" s="100"/>
      <c r="K4" s="113" t="s">
        <v>36</v>
      </c>
      <c r="L4" s="113"/>
      <c r="M4" s="113"/>
      <c r="N4" s="96" t="s">
        <v>34</v>
      </c>
      <c r="O4" s="96" t="s">
        <v>35</v>
      </c>
    </row>
    <row r="5" spans="1:15" ht="15.95" customHeight="1" x14ac:dyDescent="0.25">
      <c r="A5" s="97"/>
      <c r="B5" s="97"/>
      <c r="C5" s="102"/>
      <c r="D5" s="103"/>
      <c r="E5" s="103"/>
      <c r="F5" s="104"/>
      <c r="G5" s="102"/>
      <c r="H5" s="103"/>
      <c r="I5" s="103"/>
      <c r="J5" s="103"/>
      <c r="K5" s="113"/>
      <c r="L5" s="113"/>
      <c r="M5" s="113"/>
      <c r="N5" s="97"/>
      <c r="O5" s="97"/>
    </row>
    <row r="6" spans="1:15" ht="15.95" customHeight="1" x14ac:dyDescent="0.25">
      <c r="A6" s="98"/>
      <c r="B6" s="98"/>
      <c r="C6" s="1" t="s">
        <v>3</v>
      </c>
      <c r="D6" s="1" t="s">
        <v>4</v>
      </c>
      <c r="E6" s="1" t="s">
        <v>5</v>
      </c>
      <c r="F6" s="2" t="s">
        <v>6</v>
      </c>
      <c r="G6" s="1" t="s">
        <v>7</v>
      </c>
      <c r="H6" s="1" t="s">
        <v>4</v>
      </c>
      <c r="I6" s="1" t="s">
        <v>5</v>
      </c>
      <c r="J6" s="2" t="s">
        <v>6</v>
      </c>
      <c r="K6" s="2" t="s">
        <v>7</v>
      </c>
      <c r="L6" s="2" t="s">
        <v>5</v>
      </c>
      <c r="M6" s="2" t="s">
        <v>6</v>
      </c>
      <c r="N6" s="98"/>
      <c r="O6" s="98"/>
    </row>
    <row r="7" spans="1:15" ht="15.95" customHeight="1" x14ac:dyDescent="0.25">
      <c r="A7" s="112" t="s">
        <v>8</v>
      </c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</row>
    <row r="8" spans="1:15" ht="15.95" customHeight="1" x14ac:dyDescent="0.25">
      <c r="A8" s="3" t="s">
        <v>9</v>
      </c>
      <c r="B8" s="4" t="s">
        <v>10</v>
      </c>
      <c r="C8" s="3">
        <v>149116</v>
      </c>
      <c r="D8" s="3">
        <v>149116</v>
      </c>
      <c r="E8" s="10">
        <v>149116</v>
      </c>
      <c r="F8" s="10" t="s">
        <v>12</v>
      </c>
      <c r="G8" s="64">
        <f>22199/149116*100</f>
        <v>14.887067786153063</v>
      </c>
      <c r="H8" s="64">
        <f>5574/149116*100</f>
        <v>3.7380294535797636</v>
      </c>
      <c r="I8" s="64">
        <f>16625/149116*100</f>
        <v>11.149038332573298</v>
      </c>
      <c r="J8" s="64" t="s">
        <v>12</v>
      </c>
      <c r="K8" s="67">
        <f>C8/12</f>
        <v>12426.333333333334</v>
      </c>
      <c r="L8" s="10">
        <f>E8/11</f>
        <v>13556</v>
      </c>
      <c r="M8" s="67" t="s">
        <v>12</v>
      </c>
      <c r="N8" s="68">
        <f>22199/C8</f>
        <v>0.14887067786153063</v>
      </c>
      <c r="O8" s="64">
        <f>57/22199*1000</f>
        <v>2.5676832289742784</v>
      </c>
    </row>
    <row r="9" spans="1:15" ht="15.95" customHeight="1" x14ac:dyDescent="0.25">
      <c r="A9" s="3" t="s">
        <v>13</v>
      </c>
      <c r="B9" s="4" t="s">
        <v>14</v>
      </c>
      <c r="C9" s="3">
        <v>60124</v>
      </c>
      <c r="D9" s="10">
        <v>14394</v>
      </c>
      <c r="E9" s="10">
        <v>1230</v>
      </c>
      <c r="F9" s="10">
        <v>44500</v>
      </c>
      <c r="G9" s="64">
        <f>10786/60124*100</f>
        <v>17.93959151087752</v>
      </c>
      <c r="H9" s="64">
        <f>3305/14349*100</f>
        <v>23.032963969614606</v>
      </c>
      <c r="I9" s="64">
        <f>625/1230*100</f>
        <v>50.813008130081307</v>
      </c>
      <c r="J9" s="64">
        <f>6856/44500*100</f>
        <v>15.406741573033708</v>
      </c>
      <c r="K9" s="67">
        <f>C9/26</f>
        <v>2312.4615384615386</v>
      </c>
      <c r="L9" s="10">
        <f>E9/1</f>
        <v>1230</v>
      </c>
      <c r="M9" s="67">
        <f>F9/24</f>
        <v>1854.1666666666667</v>
      </c>
      <c r="N9" s="68">
        <f>10786/C9</f>
        <v>0.1793959151087752</v>
      </c>
      <c r="O9" s="68">
        <f>44/10786*1000</f>
        <v>4.0793621361023549</v>
      </c>
    </row>
    <row r="10" spans="1:15" ht="15.95" customHeight="1" x14ac:dyDescent="0.25">
      <c r="A10" s="3" t="s">
        <v>15</v>
      </c>
      <c r="B10" s="4" t="s">
        <v>16</v>
      </c>
      <c r="C10" s="3">
        <v>37425</v>
      </c>
      <c r="D10" s="10">
        <v>16583</v>
      </c>
      <c r="E10" s="10">
        <v>1363</v>
      </c>
      <c r="F10" s="10">
        <v>19479</v>
      </c>
      <c r="G10" s="64">
        <f>7874/37425*100</f>
        <v>21.039412157648631</v>
      </c>
      <c r="H10" s="64">
        <f>3810/16583*100</f>
        <v>22.975336187662062</v>
      </c>
      <c r="I10" s="64">
        <f>543/1363*100</f>
        <v>39.838591342626565</v>
      </c>
      <c r="J10" s="64">
        <f>3521/19479*100</f>
        <v>18.075876585040298</v>
      </c>
      <c r="K10" s="67">
        <f>C10/20</f>
        <v>1871.25</v>
      </c>
      <c r="L10" s="10">
        <f>E10/1</f>
        <v>1363</v>
      </c>
      <c r="M10" s="67">
        <f>F10/18</f>
        <v>1082.1666666666667</v>
      </c>
      <c r="N10" s="68">
        <f>7874/C10</f>
        <v>0.21039412157648629</v>
      </c>
      <c r="O10" s="64">
        <f>42/7874*1000</f>
        <v>5.3340106680213362</v>
      </c>
    </row>
    <row r="11" spans="1:15" ht="15.95" customHeight="1" x14ac:dyDescent="0.25">
      <c r="A11" s="3" t="s">
        <v>17</v>
      </c>
      <c r="B11" s="4" t="s">
        <v>18</v>
      </c>
      <c r="C11" s="3">
        <v>3530</v>
      </c>
      <c r="D11" s="10">
        <v>2605</v>
      </c>
      <c r="E11" s="10">
        <f>720+205</f>
        <v>925</v>
      </c>
      <c r="F11" s="10" t="s">
        <v>12</v>
      </c>
      <c r="G11" s="64">
        <f>1418/3530*100</f>
        <v>40.169971671388097</v>
      </c>
      <c r="H11" s="64">
        <f>800/2605*100</f>
        <v>30.710172744721685</v>
      </c>
      <c r="I11" s="64">
        <f>618/925*100</f>
        <v>66.810810810810807</v>
      </c>
      <c r="J11" s="64" t="s">
        <v>12</v>
      </c>
      <c r="K11" s="67">
        <f>C11/3</f>
        <v>1176.6666666666667</v>
      </c>
      <c r="L11" s="10">
        <f>E11/2</f>
        <v>462.5</v>
      </c>
      <c r="M11" s="67" t="s">
        <v>12</v>
      </c>
      <c r="N11" s="68">
        <f>1418/C11</f>
        <v>0.40169971671388099</v>
      </c>
      <c r="O11" s="64">
        <f>8/1418*1000</f>
        <v>5.6417489421720735</v>
      </c>
    </row>
    <row r="12" spans="1:15" ht="15.95" customHeight="1" x14ac:dyDescent="0.25">
      <c r="A12" s="3" t="s">
        <v>19</v>
      </c>
      <c r="B12" s="4" t="s">
        <v>20</v>
      </c>
      <c r="C12" s="3">
        <v>16038</v>
      </c>
      <c r="D12" s="3">
        <v>16038</v>
      </c>
      <c r="E12" s="10" t="s">
        <v>12</v>
      </c>
      <c r="F12" s="10" t="s">
        <v>12</v>
      </c>
      <c r="G12" s="64">
        <f>5422/16038*100</f>
        <v>33.807207881281954</v>
      </c>
      <c r="H12" s="64">
        <f>5422/16038*100</f>
        <v>33.807207881281954</v>
      </c>
      <c r="I12" s="64" t="s">
        <v>12</v>
      </c>
      <c r="J12" s="64" t="s">
        <v>12</v>
      </c>
      <c r="K12" s="67">
        <f>C12/3</f>
        <v>5346</v>
      </c>
      <c r="L12" s="10" t="s">
        <v>12</v>
      </c>
      <c r="M12" s="67" t="s">
        <v>12</v>
      </c>
      <c r="N12" s="68">
        <f>5422/C12</f>
        <v>0.33807207881281953</v>
      </c>
      <c r="O12" s="68">
        <f>22/5422*1000</f>
        <v>4.057543341940244</v>
      </c>
    </row>
    <row r="13" spans="1:15" ht="15.95" customHeight="1" x14ac:dyDescent="0.25">
      <c r="A13" s="3" t="s">
        <v>21</v>
      </c>
      <c r="B13" s="4" t="s">
        <v>22</v>
      </c>
      <c r="C13" s="3">
        <v>16084</v>
      </c>
      <c r="D13" s="10">
        <v>5162</v>
      </c>
      <c r="E13" s="10" t="s">
        <v>11</v>
      </c>
      <c r="F13" s="10">
        <v>10922</v>
      </c>
      <c r="G13" s="64">
        <f>4091/16084*100</f>
        <v>25.43521512061676</v>
      </c>
      <c r="H13" s="64">
        <f>1453/5162*100</f>
        <v>28.148004649360715</v>
      </c>
      <c r="I13" s="64" t="s">
        <v>11</v>
      </c>
      <c r="J13" s="64">
        <f>2429/10922*100</f>
        <v>22.239516572056399</v>
      </c>
      <c r="K13" s="67">
        <f>C13/15</f>
        <v>1072.2666666666667</v>
      </c>
      <c r="L13" s="10" t="s">
        <v>11</v>
      </c>
      <c r="M13" s="67">
        <f>F13/13</f>
        <v>840.15384615384619</v>
      </c>
      <c r="N13" s="68">
        <f>4091/C13</f>
        <v>0.25435215120616761</v>
      </c>
      <c r="O13" s="68">
        <f>32/4091*1000</f>
        <v>7.8220483989244682</v>
      </c>
    </row>
    <row r="14" spans="1:15" ht="15.95" customHeight="1" x14ac:dyDescent="0.25">
      <c r="A14" s="3" t="s">
        <v>23</v>
      </c>
      <c r="B14" s="4" t="s">
        <v>24</v>
      </c>
      <c r="C14" s="3">
        <v>37641</v>
      </c>
      <c r="D14" s="10">
        <v>14980</v>
      </c>
      <c r="E14" s="10" t="s">
        <v>12</v>
      </c>
      <c r="F14" s="10">
        <v>22661</v>
      </c>
      <c r="G14" s="64">
        <f>8024/37641*100</f>
        <v>21.31718073377434</v>
      </c>
      <c r="H14" s="64">
        <f>2845/14980*100</f>
        <v>18.991989319092124</v>
      </c>
      <c r="I14" s="64" t="s">
        <v>12</v>
      </c>
      <c r="J14" s="64">
        <f>5179/22661*100</f>
        <v>22.854242972507834</v>
      </c>
      <c r="K14" s="67">
        <f>C14/22</f>
        <v>1710.9545454545455</v>
      </c>
      <c r="L14" s="10" t="s">
        <v>12</v>
      </c>
      <c r="M14" s="67">
        <f>F14/21</f>
        <v>1079.0952380952381</v>
      </c>
      <c r="N14" s="68">
        <f>8024/C14</f>
        <v>0.21317180733774341</v>
      </c>
      <c r="O14" s="64">
        <f>55/8024*1000</f>
        <v>6.8544366899302096</v>
      </c>
    </row>
    <row r="15" spans="1:15" ht="15.95" customHeight="1" x14ac:dyDescent="0.25">
      <c r="A15" s="110" t="s">
        <v>31</v>
      </c>
      <c r="B15" s="111"/>
      <c r="C15" s="46">
        <f>SUM(C8:C14)</f>
        <v>319958</v>
      </c>
      <c r="D15" s="52">
        <f>SUM(D8:D14)</f>
        <v>218878</v>
      </c>
      <c r="E15" s="52">
        <f>SUM(E9:E11)</f>
        <v>3518</v>
      </c>
      <c r="F15" s="52">
        <f>SUM(F9:F14)</f>
        <v>97562</v>
      </c>
      <c r="G15" s="65">
        <f>SUM(G8:G14)</f>
        <v>174.59564686174036</v>
      </c>
      <c r="H15" s="65">
        <f>SUM(H8:H14)</f>
        <v>161.40370420531292</v>
      </c>
      <c r="I15" s="65">
        <f>SUM(I9:I11)</f>
        <v>157.46241028351869</v>
      </c>
      <c r="J15" s="65">
        <f>SUM(J9:J14)</f>
        <v>78.57637770263824</v>
      </c>
      <c r="K15" s="53">
        <f>SUM(K8:K14)</f>
        <v>25915.932750582753</v>
      </c>
      <c r="L15" s="52">
        <f>SUM(L9:L11)</f>
        <v>3055.5</v>
      </c>
      <c r="M15" s="53">
        <f>SUM(M9:M14)</f>
        <v>4855.5824175824182</v>
      </c>
      <c r="N15" s="69">
        <f>SUM(N8:N14)</f>
        <v>1.7459564686174036</v>
      </c>
      <c r="O15" s="65">
        <f>SUM(O8:O14)</f>
        <v>36.356833406064965</v>
      </c>
    </row>
    <row r="16" spans="1:15" ht="15.95" customHeight="1" x14ac:dyDescent="0.25">
      <c r="A16" s="108" t="s">
        <v>33</v>
      </c>
      <c r="B16" s="109"/>
      <c r="C16" s="47">
        <f>C15/7</f>
        <v>45708.285714285717</v>
      </c>
      <c r="D16" s="53">
        <f>D15/7</f>
        <v>31268.285714285714</v>
      </c>
      <c r="E16" s="53">
        <f>E15/3</f>
        <v>1172.6666666666667</v>
      </c>
      <c r="F16" s="53">
        <f>F15/4</f>
        <v>24390.5</v>
      </c>
      <c r="G16" s="65">
        <f>G15/7</f>
        <v>24.942235265962911</v>
      </c>
      <c r="H16" s="65">
        <f>H15/7</f>
        <v>23.057672029330416</v>
      </c>
      <c r="I16" s="65">
        <f>I15/3</f>
        <v>52.487470094506229</v>
      </c>
      <c r="J16" s="65">
        <f>J15/4</f>
        <v>19.64409442565956</v>
      </c>
      <c r="K16" s="53">
        <f>K15/7</f>
        <v>3702.2761072261078</v>
      </c>
      <c r="L16" s="52">
        <f>L15/3</f>
        <v>1018.5</v>
      </c>
      <c r="M16" s="53">
        <f>M15/4</f>
        <v>1213.8956043956046</v>
      </c>
      <c r="N16" s="69">
        <f>N15/7</f>
        <v>0.24942235265962909</v>
      </c>
      <c r="O16" s="65">
        <f>O15/7</f>
        <v>5.1938333437235666</v>
      </c>
    </row>
    <row r="17" spans="1:15" ht="15.95" customHeight="1" x14ac:dyDescent="0.25">
      <c r="A17" s="112" t="s">
        <v>25</v>
      </c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</row>
    <row r="18" spans="1:15" ht="15.95" customHeight="1" x14ac:dyDescent="0.25">
      <c r="A18" s="3" t="s">
        <v>9</v>
      </c>
      <c r="B18" s="4" t="s">
        <v>26</v>
      </c>
      <c r="C18" s="15">
        <v>24835</v>
      </c>
      <c r="D18" s="16">
        <v>9720</v>
      </c>
      <c r="E18" s="16">
        <v>397</v>
      </c>
      <c r="F18" s="16">
        <v>14718</v>
      </c>
      <c r="G18" s="20">
        <f>5762/24835*100</f>
        <v>23.201127441111336</v>
      </c>
      <c r="H18" s="20">
        <f>2150/9720*100</f>
        <v>22.119341563786008</v>
      </c>
      <c r="I18" s="20">
        <f>289/397*100</f>
        <v>72.795969773299745</v>
      </c>
      <c r="J18" s="20">
        <f>3323/14718*100</f>
        <v>22.577795896181545</v>
      </c>
      <c r="K18" s="45">
        <f>C18/25</f>
        <v>993.4</v>
      </c>
      <c r="L18" s="16">
        <f>E18/1</f>
        <v>397</v>
      </c>
      <c r="M18" s="45">
        <f>F18/23</f>
        <v>639.91304347826087</v>
      </c>
      <c r="N18" s="70">
        <f>5762/C18</f>
        <v>0.23201127441111336</v>
      </c>
      <c r="O18" s="20">
        <f>41/5762*1000</f>
        <v>7.115584866365845</v>
      </c>
    </row>
    <row r="19" spans="1:15" ht="15.95" customHeight="1" x14ac:dyDescent="0.25">
      <c r="A19" s="3" t="s">
        <v>13</v>
      </c>
      <c r="B19" s="4" t="s">
        <v>27</v>
      </c>
      <c r="C19" s="15">
        <v>7285</v>
      </c>
      <c r="D19" s="16">
        <v>1548</v>
      </c>
      <c r="E19" s="16" t="s">
        <v>12</v>
      </c>
      <c r="F19" s="16">
        <v>5737</v>
      </c>
      <c r="G19" s="20">
        <f>1566/7825*100</f>
        <v>20.012779552715653</v>
      </c>
      <c r="H19" s="20">
        <f>554/1548*100</f>
        <v>35.788113695090438</v>
      </c>
      <c r="I19" s="20" t="s">
        <v>12</v>
      </c>
      <c r="J19" s="20">
        <f>1012/5737*100</f>
        <v>17.639881471152169</v>
      </c>
      <c r="K19" s="45">
        <f>C19/9</f>
        <v>809.44444444444446</v>
      </c>
      <c r="L19" s="16" t="s">
        <v>12</v>
      </c>
      <c r="M19" s="45">
        <f>F19/8</f>
        <v>717.125</v>
      </c>
      <c r="N19" s="70">
        <f>1566/C19</f>
        <v>0.21496225120109816</v>
      </c>
      <c r="O19" s="20">
        <f>15/1566*1000</f>
        <v>9.5785440613026811</v>
      </c>
    </row>
    <row r="20" spans="1:15" ht="15.95" customHeight="1" x14ac:dyDescent="0.25">
      <c r="A20" s="3" t="s">
        <v>15</v>
      </c>
      <c r="B20" s="4" t="s">
        <v>28</v>
      </c>
      <c r="C20" s="15">
        <v>21899</v>
      </c>
      <c r="D20" s="16">
        <v>4647</v>
      </c>
      <c r="E20" s="16" t="s">
        <v>12</v>
      </c>
      <c r="F20" s="16">
        <v>17252</v>
      </c>
      <c r="G20" s="20">
        <f>4754/21899*100</f>
        <v>21.708753824375542</v>
      </c>
      <c r="H20" s="20">
        <f>1498/4647*100</f>
        <v>32.235851086722619</v>
      </c>
      <c r="I20" s="20" t="s">
        <v>12</v>
      </c>
      <c r="J20" s="20">
        <f>3256/17252*100</f>
        <v>18.873174124739162</v>
      </c>
      <c r="K20" s="45">
        <f>C20/24</f>
        <v>912.45833333333337</v>
      </c>
      <c r="L20" s="16" t="s">
        <v>12</v>
      </c>
      <c r="M20" s="45">
        <f>F20/23</f>
        <v>750.08695652173913</v>
      </c>
      <c r="N20" s="70">
        <f>4754/C20</f>
        <v>0.21708753824375543</v>
      </c>
      <c r="O20" s="70">
        <f>37/4754*1000</f>
        <v>7.7829196466133785</v>
      </c>
    </row>
    <row r="21" spans="1:15" ht="15.95" customHeight="1" x14ac:dyDescent="0.25">
      <c r="A21" s="3" t="s">
        <v>17</v>
      </c>
      <c r="B21" s="4" t="s">
        <v>29</v>
      </c>
      <c r="C21" s="15">
        <v>37803</v>
      </c>
      <c r="D21" s="16">
        <v>21520</v>
      </c>
      <c r="E21" s="16">
        <f>1422</f>
        <v>1422</v>
      </c>
      <c r="F21" s="16">
        <v>14861</v>
      </c>
      <c r="G21" s="20">
        <f>8891/37803*100</f>
        <v>23.519297410258446</v>
      </c>
      <c r="H21" s="20">
        <f>3300/21520*100</f>
        <v>15.33457249070632</v>
      </c>
      <c r="I21" s="20">
        <f>959/1422*100</f>
        <v>67.440225035161745</v>
      </c>
      <c r="J21" s="20">
        <f>4632/14861*100</f>
        <v>31.168831168831169</v>
      </c>
      <c r="K21" s="45">
        <f>C21/29</f>
        <v>1303.5517241379309</v>
      </c>
      <c r="L21" s="16">
        <f>E21/2</f>
        <v>711</v>
      </c>
      <c r="M21" s="45">
        <f>F21/24</f>
        <v>619.20833333333337</v>
      </c>
      <c r="N21" s="70">
        <f>8891/C21</f>
        <v>0.23519297410258444</v>
      </c>
      <c r="O21" s="20">
        <f>52/8891*1000</f>
        <v>5.848610954898211</v>
      </c>
    </row>
    <row r="22" spans="1:15" ht="15.95" customHeight="1" x14ac:dyDescent="0.25">
      <c r="A22" s="110" t="s">
        <v>31</v>
      </c>
      <c r="B22" s="111"/>
      <c r="C22" s="48">
        <f t="shared" ref="C22:O22" si="0">SUM(C18:C21)</f>
        <v>91822</v>
      </c>
      <c r="D22" s="54">
        <f t="shared" si="0"/>
        <v>37435</v>
      </c>
      <c r="E22" s="54">
        <f t="shared" si="0"/>
        <v>1819</v>
      </c>
      <c r="F22" s="54">
        <f t="shared" si="0"/>
        <v>52568</v>
      </c>
      <c r="G22" s="21">
        <f t="shared" si="0"/>
        <v>88.441958228460976</v>
      </c>
      <c r="H22" s="21">
        <f t="shared" si="0"/>
        <v>105.47787883630538</v>
      </c>
      <c r="I22" s="21">
        <f t="shared" si="0"/>
        <v>140.23619480846151</v>
      </c>
      <c r="J22" s="21">
        <f t="shared" si="0"/>
        <v>90.259682660904048</v>
      </c>
      <c r="K22" s="21">
        <f t="shared" si="0"/>
        <v>4018.8545019157091</v>
      </c>
      <c r="L22" s="54">
        <f t="shared" si="0"/>
        <v>1108</v>
      </c>
      <c r="M22" s="21">
        <f t="shared" si="0"/>
        <v>2726.3333333333335</v>
      </c>
      <c r="N22" s="38">
        <f t="shared" si="0"/>
        <v>0.89925403795855141</v>
      </c>
      <c r="O22" s="39">
        <f t="shared" si="0"/>
        <v>30.325659529180115</v>
      </c>
    </row>
    <row r="23" spans="1:15" ht="15.95" customHeight="1" x14ac:dyDescent="0.25">
      <c r="A23" s="108" t="s">
        <v>33</v>
      </c>
      <c r="B23" s="109"/>
      <c r="C23" s="49">
        <f t="shared" ref="C23:F23" si="1">C22/4</f>
        <v>22955.5</v>
      </c>
      <c r="D23" s="21">
        <f t="shared" si="1"/>
        <v>9358.75</v>
      </c>
      <c r="E23" s="21">
        <f>E22/2</f>
        <v>909.5</v>
      </c>
      <c r="F23" s="21">
        <f t="shared" si="1"/>
        <v>13142</v>
      </c>
      <c r="G23" s="21">
        <f>G22/4</f>
        <v>22.110489557115244</v>
      </c>
      <c r="H23" s="21">
        <f>H22/4</f>
        <v>26.369469709076345</v>
      </c>
      <c r="I23" s="21">
        <f>I22/2</f>
        <v>70.118097404230753</v>
      </c>
      <c r="J23" s="21">
        <f>J22/4</f>
        <v>22.564920665226012</v>
      </c>
      <c r="K23" s="21">
        <f>K22/4</f>
        <v>1004.7136254789273</v>
      </c>
      <c r="L23" s="54">
        <f>L22/2</f>
        <v>554</v>
      </c>
      <c r="M23" s="21">
        <f>M22/4</f>
        <v>681.58333333333337</v>
      </c>
      <c r="N23" s="38">
        <f>N22/4</f>
        <v>0.22481350948963785</v>
      </c>
      <c r="O23" s="39">
        <f>O22/4</f>
        <v>7.5814148822950287</v>
      </c>
    </row>
    <row r="24" spans="1:15" ht="27.75" customHeight="1" x14ac:dyDescent="0.25">
      <c r="A24" s="106" t="s">
        <v>30</v>
      </c>
      <c r="B24" s="107"/>
      <c r="C24" s="50">
        <f>SUM(C15,C22)</f>
        <v>411780</v>
      </c>
      <c r="D24" s="50">
        <f>SUM(D15,D22)</f>
        <v>256313</v>
      </c>
      <c r="E24" s="50">
        <f>SUM(E15,E22)</f>
        <v>5337</v>
      </c>
      <c r="F24" s="50">
        <f>SUM(F15,F22)</f>
        <v>150130</v>
      </c>
      <c r="G24" s="66">
        <f>SUM(G15,G22)</f>
        <v>263.03760509020134</v>
      </c>
      <c r="H24" s="66">
        <f>H15+H22</f>
        <v>266.88158304161828</v>
      </c>
      <c r="I24" s="66">
        <f t="shared" ref="I24:O24" si="2">SUM(I15,I22)</f>
        <v>297.6986050919802</v>
      </c>
      <c r="J24" s="66">
        <f t="shared" si="2"/>
        <v>168.83606036354229</v>
      </c>
      <c r="K24" s="51">
        <f t="shared" si="2"/>
        <v>29934.787252498463</v>
      </c>
      <c r="L24" s="50">
        <f t="shared" si="2"/>
        <v>4163.5</v>
      </c>
      <c r="M24" s="51">
        <f t="shared" si="2"/>
        <v>7581.9157509157521</v>
      </c>
      <c r="N24" s="71">
        <f t="shared" si="2"/>
        <v>2.645210506575955</v>
      </c>
      <c r="O24" s="51">
        <f t="shared" si="2"/>
        <v>66.682492935245079</v>
      </c>
    </row>
    <row r="25" spans="1:15" ht="31.5" customHeight="1" x14ac:dyDescent="0.25">
      <c r="A25" s="106" t="s">
        <v>32</v>
      </c>
      <c r="B25" s="107"/>
      <c r="C25" s="51">
        <f>C24/11</f>
        <v>37434.545454545456</v>
      </c>
      <c r="D25" s="51">
        <f>D24/11</f>
        <v>23301.18181818182</v>
      </c>
      <c r="E25" s="51">
        <f>E24/5</f>
        <v>1067.4000000000001</v>
      </c>
      <c r="F25" s="51">
        <f>F24/8</f>
        <v>18766.25</v>
      </c>
      <c r="G25" s="66">
        <f>G24/11</f>
        <v>23.912509553654669</v>
      </c>
      <c r="H25" s="66">
        <f>H24/11</f>
        <v>24.261962094692571</v>
      </c>
      <c r="I25" s="66">
        <f>I24/5</f>
        <v>59.539721018396037</v>
      </c>
      <c r="J25" s="66">
        <f>J24/8</f>
        <v>21.104507545442786</v>
      </c>
      <c r="K25" s="51">
        <f>K24/11</f>
        <v>2721.3442956816784</v>
      </c>
      <c r="L25" s="51">
        <f>L24/5</f>
        <v>832.7</v>
      </c>
      <c r="M25" s="51">
        <f>M24/8</f>
        <v>947.73946886446902</v>
      </c>
      <c r="N25" s="71">
        <f>N24/11</f>
        <v>0.2404736824159959</v>
      </c>
      <c r="O25" s="66">
        <f>O24/11</f>
        <v>6.0620448122950075</v>
      </c>
    </row>
    <row r="27" spans="1:15" x14ac:dyDescent="0.25">
      <c r="A27" s="95" t="s">
        <v>83</v>
      </c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</row>
    <row r="28" spans="1:15" x14ac:dyDescent="0.25">
      <c r="A28" s="95" t="s">
        <v>41</v>
      </c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</row>
    <row r="29" spans="1:15" x14ac:dyDescent="0.25">
      <c r="A29" s="94" t="s">
        <v>49</v>
      </c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</row>
    <row r="30" spans="1:15" x14ac:dyDescent="0.2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</row>
    <row r="31" spans="1:15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</row>
  </sheetData>
  <mergeCells count="19">
    <mergeCell ref="A2:O2"/>
    <mergeCell ref="N4:N6"/>
    <mergeCell ref="O4:O6"/>
    <mergeCell ref="A25:B25"/>
    <mergeCell ref="A16:B16"/>
    <mergeCell ref="A23:B23"/>
    <mergeCell ref="A15:B15"/>
    <mergeCell ref="A22:B22"/>
    <mergeCell ref="A24:B24"/>
    <mergeCell ref="A7:O7"/>
    <mergeCell ref="A17:O17"/>
    <mergeCell ref="K4:M5"/>
    <mergeCell ref="A29:O29"/>
    <mergeCell ref="A27:O27"/>
    <mergeCell ref="A28:O28"/>
    <mergeCell ref="A4:A6"/>
    <mergeCell ref="B4:B6"/>
    <mergeCell ref="C4:F5"/>
    <mergeCell ref="G4:J5"/>
  </mergeCells>
  <pageMargins left="0.70000000000000007" right="0.70000000000000007" top="0.75" bottom="0.75" header="0.30000000000000004" footer="0.30000000000000004"/>
  <pageSetup orientation="portrait" r:id="rId1"/>
  <ignoredErrors>
    <ignoredError sqref="M19 I23 H24 L23 E23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L25"/>
  <sheetViews>
    <sheetView workbookViewId="0">
      <selection activeCell="O22" sqref="O22"/>
    </sheetView>
  </sheetViews>
  <sheetFormatPr defaultRowHeight="15" x14ac:dyDescent="0.25"/>
  <cols>
    <col min="1" max="1" width="5.28515625" customWidth="1"/>
    <col min="2" max="2" width="27.42578125" customWidth="1"/>
    <col min="3" max="3" width="12" customWidth="1"/>
    <col min="4" max="4" width="8.5703125" customWidth="1"/>
    <col min="5" max="5" width="9" customWidth="1"/>
    <col min="6" max="6" width="8" customWidth="1"/>
    <col min="7" max="7" width="12.140625" customWidth="1"/>
    <col min="8" max="8" width="8.42578125" customWidth="1"/>
    <col min="9" max="9" width="8.140625" customWidth="1"/>
    <col min="10" max="10" width="7.85546875" customWidth="1"/>
  </cols>
  <sheetData>
    <row r="2" spans="1:12" ht="15.75" x14ac:dyDescent="0.25">
      <c r="A2" s="139" t="s">
        <v>61</v>
      </c>
      <c r="B2" s="139"/>
      <c r="C2" s="139"/>
      <c r="D2" s="139"/>
      <c r="E2" s="139"/>
      <c r="F2" s="139"/>
      <c r="G2" s="139"/>
      <c r="H2" s="139"/>
      <c r="I2" s="139"/>
      <c r="J2" s="139"/>
      <c r="K2" s="24"/>
      <c r="L2" s="24"/>
    </row>
    <row r="3" spans="1:12" ht="15.75" x14ac:dyDescent="0.25">
      <c r="A3" s="139" t="s">
        <v>98</v>
      </c>
      <c r="B3" s="139"/>
      <c r="C3" s="139"/>
      <c r="D3" s="139"/>
      <c r="E3" s="139"/>
      <c r="F3" s="139"/>
      <c r="G3" s="139"/>
      <c r="H3" s="139"/>
      <c r="I3" s="139"/>
      <c r="J3" s="139"/>
      <c r="K3" s="33"/>
      <c r="L3" s="33"/>
    </row>
    <row r="4" spans="1:12" ht="15.75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</row>
    <row r="5" spans="1:12" ht="15.95" customHeight="1" x14ac:dyDescent="0.25">
      <c r="A5" s="113" t="s">
        <v>0</v>
      </c>
      <c r="B5" s="113" t="s">
        <v>1</v>
      </c>
      <c r="C5" s="126" t="s">
        <v>62</v>
      </c>
      <c r="D5" s="140"/>
      <c r="E5" s="140"/>
      <c r="F5" s="127"/>
      <c r="G5" s="126" t="s">
        <v>63</v>
      </c>
      <c r="H5" s="140"/>
      <c r="I5" s="140"/>
      <c r="J5" s="127"/>
    </row>
    <row r="6" spans="1:12" ht="30.75" customHeight="1" x14ac:dyDescent="0.25">
      <c r="A6" s="113"/>
      <c r="B6" s="113"/>
      <c r="C6" s="22" t="s">
        <v>50</v>
      </c>
      <c r="D6" s="22" t="s">
        <v>4</v>
      </c>
      <c r="E6" s="22" t="s">
        <v>47</v>
      </c>
      <c r="F6" s="22" t="s">
        <v>48</v>
      </c>
      <c r="G6" s="22" t="s">
        <v>50</v>
      </c>
      <c r="H6" s="22" t="s">
        <v>4</v>
      </c>
      <c r="I6" s="22" t="s">
        <v>47</v>
      </c>
      <c r="J6" s="22" t="s">
        <v>48</v>
      </c>
    </row>
    <row r="7" spans="1:12" ht="15.95" customHeight="1" x14ac:dyDescent="0.25">
      <c r="A7" s="25" t="s">
        <v>8</v>
      </c>
      <c r="B7" s="26"/>
      <c r="C7" s="27"/>
      <c r="D7" s="27"/>
      <c r="E7" s="27"/>
      <c r="F7" s="27"/>
      <c r="G7" s="27"/>
      <c r="H7" s="27"/>
      <c r="I7" s="27"/>
      <c r="J7" s="28"/>
    </row>
    <row r="8" spans="1:12" ht="15.95" customHeight="1" x14ac:dyDescent="0.25">
      <c r="A8" s="15" t="s">
        <v>9</v>
      </c>
      <c r="B8" s="18" t="s">
        <v>10</v>
      </c>
      <c r="C8" s="20">
        <f>579929/22199</f>
        <v>26.124104689400422</v>
      </c>
      <c r="D8" s="20">
        <f>168696/5574</f>
        <v>30.264800861141012</v>
      </c>
      <c r="E8" s="20">
        <f>411233/16625</f>
        <v>24.735819548872179</v>
      </c>
      <c r="F8" s="20" t="s">
        <v>12</v>
      </c>
      <c r="G8" s="20">
        <f>360313/22199</f>
        <v>16.231046443533494</v>
      </c>
      <c r="H8" s="20">
        <f>94834/5574</f>
        <v>17.013634732687478</v>
      </c>
      <c r="I8" s="20">
        <f>265479/16625</f>
        <v>15.968661654135339</v>
      </c>
      <c r="J8" s="20" t="s">
        <v>12</v>
      </c>
    </row>
    <row r="9" spans="1:12" ht="15.95" customHeight="1" x14ac:dyDescent="0.25">
      <c r="A9" s="15" t="s">
        <v>13</v>
      </c>
      <c r="B9" s="18" t="s">
        <v>14</v>
      </c>
      <c r="C9" s="20">
        <f>215340/10786</f>
        <v>19.964769145188207</v>
      </c>
      <c r="D9" s="20">
        <f>45831/3305</f>
        <v>13.867170953101361</v>
      </c>
      <c r="E9" s="20">
        <f>15583/625</f>
        <v>24.9328</v>
      </c>
      <c r="F9" s="20">
        <f>153926/6856</f>
        <v>22.451283547257876</v>
      </c>
      <c r="G9" s="20">
        <f>151386/10786</f>
        <v>14.035416280363433</v>
      </c>
      <c r="H9" s="20">
        <f>31992/3305</f>
        <v>9.6798789712556736</v>
      </c>
      <c r="I9" s="20">
        <f>10286/625</f>
        <v>16.457599999999999</v>
      </c>
      <c r="J9" s="20">
        <f>109108/6856</f>
        <v>15.914235705950992</v>
      </c>
    </row>
    <row r="10" spans="1:12" ht="15.95" customHeight="1" x14ac:dyDescent="0.25">
      <c r="A10" s="15" t="s">
        <v>15</v>
      </c>
      <c r="B10" s="18" t="s">
        <v>16</v>
      </c>
      <c r="C10" s="20">
        <f>165316/7874</f>
        <v>20.995173990347979</v>
      </c>
      <c r="D10" s="20">
        <f>62944/3810</f>
        <v>16.520734908136482</v>
      </c>
      <c r="E10" s="20">
        <f>16592/543</f>
        <v>30.556169429097604</v>
      </c>
      <c r="F10" s="20">
        <f>85780/3521</f>
        <v>24.362397046293665</v>
      </c>
      <c r="G10" s="20">
        <f>180420/7874</f>
        <v>22.913385826771652</v>
      </c>
      <c r="H10" s="20">
        <f>117236/3810</f>
        <v>30.770603674540684</v>
      </c>
      <c r="I10" s="20">
        <f>6980/543</f>
        <v>12.85451197053407</v>
      </c>
      <c r="J10" s="20">
        <f>56204/3521</f>
        <v>15.962510650383415</v>
      </c>
    </row>
    <row r="11" spans="1:12" ht="15.95" customHeight="1" x14ac:dyDescent="0.25">
      <c r="A11" s="15" t="s">
        <v>17</v>
      </c>
      <c r="B11" s="18" t="s">
        <v>18</v>
      </c>
      <c r="C11" s="20">
        <f>21137/1418</f>
        <v>14.906205923836389</v>
      </c>
      <c r="D11" s="20">
        <f>9280/800</f>
        <v>11.6</v>
      </c>
      <c r="E11" s="20">
        <f>11857/618</f>
        <v>19.186084142394822</v>
      </c>
      <c r="F11" s="20" t="s">
        <v>12</v>
      </c>
      <c r="G11" s="20">
        <f>12148/1418</f>
        <v>8.5669957686882938</v>
      </c>
      <c r="H11" s="20">
        <f>6080/800</f>
        <v>7.6</v>
      </c>
      <c r="I11" s="20">
        <f>6068/618</f>
        <v>9.8187702265372163</v>
      </c>
      <c r="J11" s="20" t="s">
        <v>12</v>
      </c>
    </row>
    <row r="12" spans="1:12" ht="15.95" customHeight="1" x14ac:dyDescent="0.25">
      <c r="A12" s="15" t="s">
        <v>19</v>
      </c>
      <c r="B12" s="18" t="s">
        <v>20</v>
      </c>
      <c r="C12" s="20">
        <f>100886/5422</f>
        <v>18.606787163408338</v>
      </c>
      <c r="D12" s="20">
        <f>10886/5422</f>
        <v>2.0077462191073403</v>
      </c>
      <c r="E12" s="20" t="s">
        <v>12</v>
      </c>
      <c r="F12" s="20" t="s">
        <v>12</v>
      </c>
      <c r="G12" s="20">
        <f>63524/5422</f>
        <v>11.715971966064183</v>
      </c>
      <c r="H12" s="20">
        <f>63524/5422</f>
        <v>11.715971966064183</v>
      </c>
      <c r="I12" s="20" t="s">
        <v>12</v>
      </c>
      <c r="J12" s="20" t="s">
        <v>12</v>
      </c>
    </row>
    <row r="13" spans="1:12" ht="15.95" customHeight="1" x14ac:dyDescent="0.25">
      <c r="A13" s="15" t="s">
        <v>21</v>
      </c>
      <c r="B13" s="18" t="s">
        <v>22</v>
      </c>
      <c r="C13" s="20">
        <f>102543/4091</f>
        <v>25.065509655340993</v>
      </c>
      <c r="D13" s="20">
        <f>32619/1453</f>
        <v>22.449415003441157</v>
      </c>
      <c r="E13" s="20">
        <f>4490/209</f>
        <v>21.483253588516746</v>
      </c>
      <c r="F13" s="20">
        <f>65434/2429</f>
        <v>26.938657883902842</v>
      </c>
      <c r="G13" s="20">
        <f>45239/4091</f>
        <v>11.058176484967001</v>
      </c>
      <c r="H13" s="20">
        <f>17146/1453</f>
        <v>11.800412938747419</v>
      </c>
      <c r="I13" s="20">
        <f>2328/209</f>
        <v>11.138755980861244</v>
      </c>
      <c r="J13" s="20">
        <f>25765/2429</f>
        <v>10.607245780156443</v>
      </c>
    </row>
    <row r="14" spans="1:12" ht="15.95" customHeight="1" x14ac:dyDescent="0.25">
      <c r="A14" s="15" t="s">
        <v>23</v>
      </c>
      <c r="B14" s="18" t="s">
        <v>24</v>
      </c>
      <c r="C14" s="20">
        <f>165332/8024</f>
        <v>20.604685942173479</v>
      </c>
      <c r="D14" s="20">
        <f>45322/2845</f>
        <v>15.930404217926187</v>
      </c>
      <c r="E14" s="20" t="s">
        <v>12</v>
      </c>
      <c r="F14" s="20">
        <f>120010/5179</f>
        <v>23.172427109480594</v>
      </c>
      <c r="G14" s="20">
        <f>125176/8024</f>
        <v>15.600199401794615</v>
      </c>
      <c r="H14" s="20">
        <f>31801/2845</f>
        <v>11.177855887521968</v>
      </c>
      <c r="I14" s="20" t="s">
        <v>12</v>
      </c>
      <c r="J14" s="20">
        <f>93375/5179</f>
        <v>18.029542382699361</v>
      </c>
    </row>
    <row r="15" spans="1:12" ht="15.95" customHeight="1" x14ac:dyDescent="0.25">
      <c r="A15" s="160" t="s">
        <v>31</v>
      </c>
      <c r="B15" s="160"/>
      <c r="C15" s="39">
        <f t="shared" ref="C15:J15" si="0">SUM(C8:C14)</f>
        <v>146.26723650969581</v>
      </c>
      <c r="D15" s="39">
        <f t="shared" si="0"/>
        <v>112.64027216285355</v>
      </c>
      <c r="E15" s="39">
        <f t="shared" si="0"/>
        <v>120.89412670888134</v>
      </c>
      <c r="F15" s="39">
        <f t="shared" si="0"/>
        <v>96.924765586934967</v>
      </c>
      <c r="G15" s="39">
        <f t="shared" si="0"/>
        <v>100.12119217218267</v>
      </c>
      <c r="H15" s="39">
        <f t="shared" si="0"/>
        <v>99.758358170817402</v>
      </c>
      <c r="I15" s="39">
        <f t="shared" si="0"/>
        <v>66.238299832067867</v>
      </c>
      <c r="J15" s="39">
        <f t="shared" si="0"/>
        <v>60.513534519190216</v>
      </c>
    </row>
    <row r="16" spans="1:12" ht="15.95" customHeight="1" x14ac:dyDescent="0.25">
      <c r="A16" s="110" t="s">
        <v>33</v>
      </c>
      <c r="B16" s="111"/>
      <c r="C16" s="39">
        <f>C15/7</f>
        <v>20.895319501385114</v>
      </c>
      <c r="D16" s="39">
        <f>D15/7</f>
        <v>16.09146745183622</v>
      </c>
      <c r="E16" s="39">
        <f>E15/5</f>
        <v>24.178825341776268</v>
      </c>
      <c r="F16" s="39">
        <f>F15/4</f>
        <v>24.231191396733742</v>
      </c>
      <c r="G16" s="39">
        <f>G15/7</f>
        <v>14.303027453168953</v>
      </c>
      <c r="H16" s="39">
        <f>H15/7</f>
        <v>14.251194024402485</v>
      </c>
      <c r="I16" s="39">
        <f>I15/5</f>
        <v>13.247659966413574</v>
      </c>
      <c r="J16" s="39">
        <f>J15/4</f>
        <v>15.128383629797554</v>
      </c>
    </row>
    <row r="17" spans="1:10" ht="15.95" customHeight="1" x14ac:dyDescent="0.25">
      <c r="A17" s="159" t="s">
        <v>25</v>
      </c>
      <c r="B17" s="159"/>
      <c r="C17" s="159"/>
      <c r="D17" s="159"/>
      <c r="E17" s="159"/>
      <c r="F17" s="159"/>
      <c r="G17" s="159"/>
      <c r="H17" s="159"/>
      <c r="I17" s="159"/>
      <c r="J17" s="159"/>
    </row>
    <row r="18" spans="1:10" ht="15.95" customHeight="1" x14ac:dyDescent="0.25">
      <c r="A18" s="15" t="s">
        <v>9</v>
      </c>
      <c r="B18" s="18" t="s">
        <v>26</v>
      </c>
      <c r="C18" s="20">
        <f>127466/5762</f>
        <v>22.121832696980213</v>
      </c>
      <c r="D18" s="20">
        <f>33461/2150</f>
        <v>15.563255813953488</v>
      </c>
      <c r="E18" s="20">
        <f>7143/289</f>
        <v>24.716262975778548</v>
      </c>
      <c r="F18" s="20">
        <f>86862/3323</f>
        <v>26.139632861871803</v>
      </c>
      <c r="G18" s="20">
        <f>75265/5762</f>
        <v>13.062304755293301</v>
      </c>
      <c r="H18" s="20">
        <f>21416/2150</f>
        <v>9.9609302325581393</v>
      </c>
      <c r="I18" s="20">
        <f>5927/289</f>
        <v>20.508650519031143</v>
      </c>
      <c r="J18" s="20">
        <f>47922/3323</f>
        <v>14.421306048751129</v>
      </c>
    </row>
    <row r="19" spans="1:10" ht="15.95" customHeight="1" x14ac:dyDescent="0.25">
      <c r="A19" s="15" t="s">
        <v>13</v>
      </c>
      <c r="B19" s="18" t="s">
        <v>27</v>
      </c>
      <c r="C19" s="20">
        <f>34473/1566</f>
        <v>22.013409961685824</v>
      </c>
      <c r="D19" s="20">
        <f>8081/554</f>
        <v>14.586642599277978</v>
      </c>
      <c r="E19" s="20" t="s">
        <v>12</v>
      </c>
      <c r="F19" s="20">
        <f>26392/1012</f>
        <v>26.079051383399211</v>
      </c>
      <c r="G19" s="20">
        <f>32847/1566</f>
        <v>20.975095785440612</v>
      </c>
      <c r="H19" s="20">
        <f>19642/554</f>
        <v>35.454873646209386</v>
      </c>
      <c r="I19" s="20" t="s">
        <v>12</v>
      </c>
      <c r="J19" s="20">
        <f>13205/1012</f>
        <v>13.048418972332016</v>
      </c>
    </row>
    <row r="20" spans="1:10" ht="15.95" customHeight="1" x14ac:dyDescent="0.25">
      <c r="A20" s="15" t="s">
        <v>15</v>
      </c>
      <c r="B20" s="18" t="s">
        <v>28</v>
      </c>
      <c r="C20" s="20">
        <f>95922/4754</f>
        <v>20.177114009255362</v>
      </c>
      <c r="D20" s="20">
        <f>30843/1498</f>
        <v>20.589452603471294</v>
      </c>
      <c r="E20" s="20" t="s">
        <v>12</v>
      </c>
      <c r="F20" s="20">
        <f>65079/3256</f>
        <v>19.987407862407863</v>
      </c>
      <c r="G20" s="20">
        <f>73715/4754</f>
        <v>15.50588977702987</v>
      </c>
      <c r="H20" s="20">
        <f>37424/1498</f>
        <v>24.982643524699601</v>
      </c>
      <c r="I20" s="20" t="s">
        <v>12</v>
      </c>
      <c r="J20" s="20">
        <f>36291/3256</f>
        <v>11.14588452088452</v>
      </c>
    </row>
    <row r="21" spans="1:10" ht="15.95" customHeight="1" x14ac:dyDescent="0.25">
      <c r="A21" s="15" t="s">
        <v>17</v>
      </c>
      <c r="B21" s="18" t="s">
        <v>29</v>
      </c>
      <c r="C21" s="20">
        <f>145021/8891</f>
        <v>16.310988640197952</v>
      </c>
      <c r="D21" s="20">
        <f>62691/3300</f>
        <v>18.997272727272726</v>
      </c>
      <c r="E21" s="20">
        <f>8985/959</f>
        <v>9.3691345151199172</v>
      </c>
      <c r="F21" s="20">
        <f>73345/4632</f>
        <v>15.834412780656304</v>
      </c>
      <c r="G21" s="20">
        <f>92314/8891</f>
        <v>10.382859070970644</v>
      </c>
      <c r="H21" s="20">
        <f>38813/3300</f>
        <v>11.761515151515152</v>
      </c>
      <c r="I21" s="20">
        <f>7734/959</f>
        <v>8.0646506777893645</v>
      </c>
      <c r="J21" s="20">
        <f>45767/4632</f>
        <v>9.8806131260794476</v>
      </c>
    </row>
    <row r="22" spans="1:10" ht="15.95" customHeight="1" x14ac:dyDescent="0.25">
      <c r="A22" s="160" t="s">
        <v>31</v>
      </c>
      <c r="B22" s="160"/>
      <c r="C22" s="39">
        <f t="shared" ref="C22:J22" si="1">SUM(C18:C21)</f>
        <v>80.62334530811934</v>
      </c>
      <c r="D22" s="39">
        <f t="shared" si="1"/>
        <v>69.736623743975485</v>
      </c>
      <c r="E22" s="39">
        <f t="shared" si="1"/>
        <v>34.085397490898465</v>
      </c>
      <c r="F22" s="39">
        <f t="shared" si="1"/>
        <v>88.040504888335178</v>
      </c>
      <c r="G22" s="39">
        <f t="shared" si="1"/>
        <v>59.92614938873443</v>
      </c>
      <c r="H22" s="39">
        <f t="shared" si="1"/>
        <v>82.159962554982286</v>
      </c>
      <c r="I22" s="39">
        <f t="shared" si="1"/>
        <v>28.573301196820509</v>
      </c>
      <c r="J22" s="39">
        <f t="shared" si="1"/>
        <v>48.49622266804711</v>
      </c>
    </row>
    <row r="23" spans="1:10" ht="15.95" customHeight="1" x14ac:dyDescent="0.25">
      <c r="A23" s="110" t="s">
        <v>33</v>
      </c>
      <c r="B23" s="111"/>
      <c r="C23" s="39">
        <f>C22/4</f>
        <v>20.155836327029835</v>
      </c>
      <c r="D23" s="39">
        <f>D22/4</f>
        <v>17.434155935993871</v>
      </c>
      <c r="E23" s="39">
        <f>E22/2</f>
        <v>17.042698745449233</v>
      </c>
      <c r="F23" s="39">
        <f>F22/4</f>
        <v>22.010126222083795</v>
      </c>
      <c r="G23" s="39">
        <f>G22/4</f>
        <v>14.981537347183608</v>
      </c>
      <c r="H23" s="39">
        <f>H22/4</f>
        <v>20.539990638745572</v>
      </c>
      <c r="I23" s="39">
        <f>I22/2</f>
        <v>14.286650598410255</v>
      </c>
      <c r="J23" s="39">
        <f>J22/4</f>
        <v>12.124055667011778</v>
      </c>
    </row>
    <row r="24" spans="1:10" ht="29.25" customHeight="1" x14ac:dyDescent="0.25">
      <c r="A24" s="161" t="s">
        <v>30</v>
      </c>
      <c r="B24" s="161"/>
      <c r="C24" s="66">
        <f t="shared" ref="C24:J24" si="2">SUM(C15,C22)</f>
        <v>226.89058181781513</v>
      </c>
      <c r="D24" s="66">
        <f t="shared" si="2"/>
        <v>182.37689590682902</v>
      </c>
      <c r="E24" s="66">
        <f t="shared" si="2"/>
        <v>154.9795241997798</v>
      </c>
      <c r="F24" s="66">
        <f t="shared" si="2"/>
        <v>184.96527047527013</v>
      </c>
      <c r="G24" s="66">
        <f t="shared" si="2"/>
        <v>160.04734156091712</v>
      </c>
      <c r="H24" s="66">
        <f t="shared" si="2"/>
        <v>181.91832072579967</v>
      </c>
      <c r="I24" s="66">
        <f t="shared" si="2"/>
        <v>94.811601028888376</v>
      </c>
      <c r="J24" s="66">
        <f t="shared" si="2"/>
        <v>109.00975718723733</v>
      </c>
    </row>
    <row r="25" spans="1:10" ht="33.75" customHeight="1" x14ac:dyDescent="0.25">
      <c r="A25" s="161" t="s">
        <v>32</v>
      </c>
      <c r="B25" s="161"/>
      <c r="C25" s="66">
        <f>C24/11</f>
        <v>20.626416528892285</v>
      </c>
      <c r="D25" s="66">
        <f>D24/11</f>
        <v>16.579717809711727</v>
      </c>
      <c r="E25" s="66">
        <f>E24/7</f>
        <v>22.13993202853997</v>
      </c>
      <c r="F25" s="66">
        <f>F24/8</f>
        <v>23.120658809408766</v>
      </c>
      <c r="G25" s="66">
        <f>G24/11</f>
        <v>14.549758323719738</v>
      </c>
      <c r="H25" s="66">
        <f>H24/11</f>
        <v>16.538029156890879</v>
      </c>
      <c r="I25" s="66">
        <f>I24/7</f>
        <v>13.544514432698339</v>
      </c>
      <c r="J25" s="66">
        <f>J24/8</f>
        <v>13.626219648404666</v>
      </c>
    </row>
  </sheetData>
  <mergeCells count="13">
    <mergeCell ref="A15:B15"/>
    <mergeCell ref="A17:J17"/>
    <mergeCell ref="A22:B22"/>
    <mergeCell ref="A24:B24"/>
    <mergeCell ref="A25:B25"/>
    <mergeCell ref="A16:B16"/>
    <mergeCell ref="A23:B23"/>
    <mergeCell ref="A5:A6"/>
    <mergeCell ref="B5:B6"/>
    <mergeCell ref="C5:F5"/>
    <mergeCell ref="G5:J5"/>
    <mergeCell ref="A2:J2"/>
    <mergeCell ref="A3:J3"/>
  </mergeCells>
  <pageMargins left="0.70000000000000007" right="0.70000000000000007" top="0.75" bottom="0.75" header="0.30000000000000004" footer="0.30000000000000004"/>
  <pageSetup orientation="portrait" r:id="rId1"/>
  <ignoredErrors>
    <ignoredError sqref="E23 I23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K25"/>
  <sheetViews>
    <sheetView workbookViewId="0">
      <selection activeCell="M21" sqref="M21"/>
    </sheetView>
  </sheetViews>
  <sheetFormatPr defaultRowHeight="15" x14ac:dyDescent="0.25"/>
  <cols>
    <col min="1" max="1" width="4.85546875" customWidth="1"/>
    <col min="2" max="2" width="27.85546875" customWidth="1"/>
    <col min="3" max="3" width="12.28515625" customWidth="1"/>
    <col min="4" max="4" width="9.140625" customWidth="1"/>
    <col min="5" max="5" width="9.42578125" customWidth="1"/>
    <col min="6" max="6" width="8.5703125" customWidth="1"/>
    <col min="7" max="7" width="12.28515625" customWidth="1"/>
    <col min="8" max="8" width="8.85546875" customWidth="1"/>
    <col min="9" max="9" width="8.5703125" customWidth="1"/>
    <col min="10" max="10" width="9.28515625" customWidth="1"/>
  </cols>
  <sheetData>
    <row r="2" spans="1:11" ht="15.75" x14ac:dyDescent="0.25">
      <c r="A2" s="139" t="s">
        <v>64</v>
      </c>
      <c r="B2" s="139"/>
      <c r="C2" s="139"/>
      <c r="D2" s="139"/>
      <c r="E2" s="139"/>
      <c r="F2" s="139"/>
      <c r="G2" s="139"/>
      <c r="H2" s="139"/>
      <c r="I2" s="139"/>
      <c r="J2" s="139"/>
      <c r="K2" s="24"/>
    </row>
    <row r="3" spans="1:11" ht="15.75" x14ac:dyDescent="0.25">
      <c r="A3" s="139" t="s">
        <v>98</v>
      </c>
      <c r="B3" s="139"/>
      <c r="C3" s="139"/>
      <c r="D3" s="139"/>
      <c r="E3" s="139"/>
      <c r="F3" s="139"/>
      <c r="G3" s="139"/>
      <c r="H3" s="139"/>
      <c r="I3" s="139"/>
      <c r="J3" s="139"/>
    </row>
    <row r="4" spans="1:11" ht="15.75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</row>
    <row r="5" spans="1:11" ht="15.95" customHeight="1" x14ac:dyDescent="0.25">
      <c r="A5" s="113" t="s">
        <v>0</v>
      </c>
      <c r="B5" s="113" t="s">
        <v>1</v>
      </c>
      <c r="C5" s="126" t="s">
        <v>62</v>
      </c>
      <c r="D5" s="140"/>
      <c r="E5" s="140"/>
      <c r="F5" s="127"/>
      <c r="G5" s="126" t="s">
        <v>63</v>
      </c>
      <c r="H5" s="140"/>
      <c r="I5" s="140"/>
      <c r="J5" s="127"/>
    </row>
    <row r="6" spans="1:11" ht="28.5" customHeight="1" x14ac:dyDescent="0.25">
      <c r="A6" s="113"/>
      <c r="B6" s="113"/>
      <c r="C6" s="22" t="s">
        <v>50</v>
      </c>
      <c r="D6" s="22" t="s">
        <v>4</v>
      </c>
      <c r="E6" s="22" t="s">
        <v>47</v>
      </c>
      <c r="F6" s="22" t="s">
        <v>48</v>
      </c>
      <c r="G6" s="22" t="s">
        <v>50</v>
      </c>
      <c r="H6" s="22" t="s">
        <v>4</v>
      </c>
      <c r="I6" s="22" t="s">
        <v>47</v>
      </c>
      <c r="J6" s="22" t="s">
        <v>48</v>
      </c>
    </row>
    <row r="7" spans="1:11" ht="15.95" customHeight="1" x14ac:dyDescent="0.25">
      <c r="A7" s="25" t="s">
        <v>8</v>
      </c>
      <c r="B7" s="25"/>
      <c r="C7" s="25"/>
      <c r="D7" s="25"/>
      <c r="E7" s="25"/>
      <c r="F7" s="25"/>
      <c r="G7" s="25"/>
      <c r="H7" s="25"/>
      <c r="I7" s="25"/>
      <c r="J7" s="25"/>
    </row>
    <row r="8" spans="1:11" ht="15.95" customHeight="1" x14ac:dyDescent="0.25">
      <c r="A8" s="15" t="s">
        <v>9</v>
      </c>
      <c r="B8" s="18" t="s">
        <v>10</v>
      </c>
      <c r="C8" s="70">
        <f>116154/5061</f>
        <v>22.950800237107291</v>
      </c>
      <c r="D8" s="70">
        <f>25522/715</f>
        <v>35.695104895104897</v>
      </c>
      <c r="E8" s="70">
        <f>(74982+14215)/3584</f>
        <v>24.887555803571427</v>
      </c>
      <c r="F8" s="70" t="s">
        <v>12</v>
      </c>
      <c r="G8" s="70">
        <f>78351/5061</f>
        <v>15.481327800829876</v>
      </c>
      <c r="H8" s="70">
        <f>17271/715</f>
        <v>24.155244755244755</v>
      </c>
      <c r="I8" s="70">
        <f>(54655+6425)/3584</f>
        <v>17.042410714285715</v>
      </c>
      <c r="J8" s="70" t="s">
        <v>12</v>
      </c>
    </row>
    <row r="9" spans="1:11" ht="15.95" customHeight="1" x14ac:dyDescent="0.25">
      <c r="A9" s="15" t="s">
        <v>13</v>
      </c>
      <c r="B9" s="18" t="s">
        <v>14</v>
      </c>
      <c r="C9" s="70">
        <f>65553/4040</f>
        <v>16.225990099009902</v>
      </c>
      <c r="D9" s="70">
        <f>12360/1578</f>
        <v>7.832699619771863</v>
      </c>
      <c r="E9" s="70">
        <f>3134/278</f>
        <v>11.273381294964029</v>
      </c>
      <c r="F9" s="70">
        <f>50059/2184</f>
        <v>22.920787545787547</v>
      </c>
      <c r="G9" s="70">
        <f>64602/4040</f>
        <v>15.990594059405941</v>
      </c>
      <c r="H9" s="70">
        <f>14992/1578</f>
        <v>9.50063371356147</v>
      </c>
      <c r="I9" s="70">
        <f>4721/278</f>
        <v>16.982014388489208</v>
      </c>
      <c r="J9" s="70">
        <f>44889/2184</f>
        <v>20.553571428571427</v>
      </c>
    </row>
    <row r="10" spans="1:11" ht="15.95" customHeight="1" x14ac:dyDescent="0.25">
      <c r="A10" s="15" t="s">
        <v>15</v>
      </c>
      <c r="B10" s="18" t="s">
        <v>16</v>
      </c>
      <c r="C10" s="70">
        <f>33202/2417</f>
        <v>13.736863880844021</v>
      </c>
      <c r="D10" s="70">
        <f>11867/1327</f>
        <v>8.9427279577995478</v>
      </c>
      <c r="E10" s="70">
        <f>3697/149</f>
        <v>24.812080536912752</v>
      </c>
      <c r="F10" s="70">
        <f>17638/941</f>
        <v>18.743889479277364</v>
      </c>
      <c r="G10" s="70">
        <f>66111/2417</f>
        <v>27.352503103020272</v>
      </c>
      <c r="H10" s="70">
        <f>47816/1327</f>
        <v>36.033157498116054</v>
      </c>
      <c r="I10" s="70">
        <f>2125/149</f>
        <v>14.261744966442953</v>
      </c>
      <c r="J10" s="70">
        <f>16170/941</f>
        <v>17.183846971307119</v>
      </c>
    </row>
    <row r="11" spans="1:11" ht="15.95" customHeight="1" x14ac:dyDescent="0.25">
      <c r="A11" s="15" t="s">
        <v>17</v>
      </c>
      <c r="B11" s="18" t="s">
        <v>18</v>
      </c>
      <c r="C11" s="70">
        <f>2136/96</f>
        <v>22.25</v>
      </c>
      <c r="D11" s="70">
        <f>749/72</f>
        <v>10.402777777777779</v>
      </c>
      <c r="E11" s="70">
        <f>1387/24</f>
        <v>57.791666666666664</v>
      </c>
      <c r="F11" s="70" t="s">
        <v>12</v>
      </c>
      <c r="G11" s="70">
        <f>1452/96</f>
        <v>15.125</v>
      </c>
      <c r="H11" s="70">
        <f>620/72</f>
        <v>8.6111111111111107</v>
      </c>
      <c r="I11" s="70">
        <f>832/24</f>
        <v>34.666666666666664</v>
      </c>
      <c r="J11" s="70" t="s">
        <v>12</v>
      </c>
    </row>
    <row r="12" spans="1:11" ht="15.95" customHeight="1" x14ac:dyDescent="0.25">
      <c r="A12" s="15" t="s">
        <v>19</v>
      </c>
      <c r="B12" s="18" t="s">
        <v>20</v>
      </c>
      <c r="C12" s="70">
        <f>18805/1075</f>
        <v>17.493023255813952</v>
      </c>
      <c r="D12" s="70">
        <f>18805/1075</f>
        <v>17.493023255813952</v>
      </c>
      <c r="E12" s="70" t="s">
        <v>12</v>
      </c>
      <c r="F12" s="70" t="s">
        <v>12</v>
      </c>
      <c r="G12" s="70">
        <f>16492/1075</f>
        <v>15.34139534883721</v>
      </c>
      <c r="H12" s="70">
        <f>16492/1075</f>
        <v>15.34139534883721</v>
      </c>
      <c r="I12" s="70" t="s">
        <v>12</v>
      </c>
      <c r="J12" s="70" t="s">
        <v>12</v>
      </c>
    </row>
    <row r="13" spans="1:11" ht="15.95" customHeight="1" x14ac:dyDescent="0.25">
      <c r="A13" s="15" t="s">
        <v>21</v>
      </c>
      <c r="B13" s="18" t="s">
        <v>22</v>
      </c>
      <c r="C13" s="70">
        <f>16232/1007</f>
        <v>16.119165839126119</v>
      </c>
      <c r="D13" s="70">
        <f>8536/477</f>
        <v>17.89517819706499</v>
      </c>
      <c r="E13" s="70">
        <f>64/8</f>
        <v>8</v>
      </c>
      <c r="F13" s="70">
        <f>7632/522</f>
        <v>14.620689655172415</v>
      </c>
      <c r="G13" s="70">
        <f>11383/1007</f>
        <v>11.303872889771599</v>
      </c>
      <c r="H13" s="70">
        <f>5438/477</f>
        <v>11.40041928721174</v>
      </c>
      <c r="I13" s="70">
        <f>14/8</f>
        <v>1.75</v>
      </c>
      <c r="J13" s="70">
        <f>5931/522</f>
        <v>11.362068965517242</v>
      </c>
    </row>
    <row r="14" spans="1:11" ht="15.95" customHeight="1" x14ac:dyDescent="0.25">
      <c r="A14" s="15" t="s">
        <v>23</v>
      </c>
      <c r="B14" s="18" t="s">
        <v>24</v>
      </c>
      <c r="C14" s="70">
        <f>42874/2586</f>
        <v>16.579273008507347</v>
      </c>
      <c r="D14" s="70">
        <f>13197/1007</f>
        <v>13.105263157894736</v>
      </c>
      <c r="E14" s="70" t="s">
        <v>12</v>
      </c>
      <c r="F14" s="70">
        <f>29677/1579</f>
        <v>18.794806839772008</v>
      </c>
      <c r="G14" s="70">
        <f>43746/2586</f>
        <v>16.916473317865428</v>
      </c>
      <c r="H14" s="70">
        <f>10107/1007</f>
        <v>10.036742800397219</v>
      </c>
      <c r="I14" s="70" t="s">
        <v>12</v>
      </c>
      <c r="J14" s="70">
        <f>33639/1579</f>
        <v>21.303989867004432</v>
      </c>
    </row>
    <row r="15" spans="1:11" ht="15.95" customHeight="1" x14ac:dyDescent="0.25">
      <c r="A15" s="160" t="s">
        <v>31</v>
      </c>
      <c r="B15" s="160"/>
      <c r="C15" s="38">
        <f t="shared" ref="C15:J15" si="0">SUM(C8:C14)</f>
        <v>125.35511632040864</v>
      </c>
      <c r="D15" s="38">
        <f t="shared" si="0"/>
        <v>111.36677486122777</v>
      </c>
      <c r="E15" s="38">
        <f t="shared" si="0"/>
        <v>126.76468430211487</v>
      </c>
      <c r="F15" s="38">
        <f t="shared" si="0"/>
        <v>75.080173520009339</v>
      </c>
      <c r="G15" s="38">
        <f t="shared" si="0"/>
        <v>117.51116651973032</v>
      </c>
      <c r="H15" s="38">
        <f t="shared" si="0"/>
        <v>115.07870451447955</v>
      </c>
      <c r="I15" s="38">
        <f t="shared" si="0"/>
        <v>84.702836735884546</v>
      </c>
      <c r="J15" s="38">
        <f t="shared" si="0"/>
        <v>70.40347723240022</v>
      </c>
    </row>
    <row r="16" spans="1:11" ht="15.95" customHeight="1" x14ac:dyDescent="0.25">
      <c r="A16" s="110" t="s">
        <v>33</v>
      </c>
      <c r="B16" s="111"/>
      <c r="C16" s="38">
        <f>C15/7</f>
        <v>17.907873760058376</v>
      </c>
      <c r="D16" s="38">
        <f>D15/7</f>
        <v>15.909539265889681</v>
      </c>
      <c r="E16" s="38">
        <f>E15/5</f>
        <v>25.352936860422975</v>
      </c>
      <c r="F16" s="38">
        <f>F15/4</f>
        <v>18.770043380002335</v>
      </c>
      <c r="G16" s="38">
        <f>G15/7</f>
        <v>16.787309502818619</v>
      </c>
      <c r="H16" s="38">
        <f>H15/7</f>
        <v>16.439814930639937</v>
      </c>
      <c r="I16" s="38">
        <f>I15/5</f>
        <v>16.940567347176909</v>
      </c>
      <c r="J16" s="38">
        <f>J15/4</f>
        <v>17.600869308100055</v>
      </c>
    </row>
    <row r="17" spans="1:10" ht="15.95" customHeight="1" x14ac:dyDescent="0.25">
      <c r="A17" s="159" t="s">
        <v>25</v>
      </c>
      <c r="B17" s="159"/>
      <c r="C17" s="159"/>
      <c r="D17" s="159"/>
      <c r="E17" s="159"/>
      <c r="F17" s="159"/>
      <c r="G17" s="159"/>
      <c r="H17" s="159"/>
      <c r="I17" s="159"/>
      <c r="J17" s="159"/>
    </row>
    <row r="18" spans="1:10" ht="15.95" customHeight="1" x14ac:dyDescent="0.25">
      <c r="A18" s="15" t="s">
        <v>9</v>
      </c>
      <c r="B18" s="18" t="s">
        <v>26</v>
      </c>
      <c r="C18" s="70">
        <f>22149/1282</f>
        <v>17.276911076443056</v>
      </c>
      <c r="D18" s="70">
        <f>5078/407</f>
        <v>12.476658476658477</v>
      </c>
      <c r="E18" s="70">
        <f>1117/73</f>
        <v>15.301369863013699</v>
      </c>
      <c r="F18" s="70">
        <f>15954/802</f>
        <v>19.892768079800497</v>
      </c>
      <c r="G18" s="70">
        <f>29155/1282</f>
        <v>22.741809672386896</v>
      </c>
      <c r="H18" s="70">
        <f>6216/407</f>
        <v>15.272727272727273</v>
      </c>
      <c r="I18" s="70">
        <f>2965/73</f>
        <v>40.61643835616438</v>
      </c>
      <c r="J18" s="70">
        <f>19974/802</f>
        <v>24.905236907730675</v>
      </c>
    </row>
    <row r="19" spans="1:10" ht="15.95" customHeight="1" x14ac:dyDescent="0.25">
      <c r="A19" s="15" t="s">
        <v>13</v>
      </c>
      <c r="B19" s="18" t="s">
        <v>27</v>
      </c>
      <c r="C19" s="70">
        <f>5232/425</f>
        <v>12.310588235294118</v>
      </c>
      <c r="D19" s="70">
        <f>1153/146</f>
        <v>7.897260273972603</v>
      </c>
      <c r="E19" s="70" t="s">
        <v>12</v>
      </c>
      <c r="F19" s="70">
        <f>4079/279</f>
        <v>14.620071684587813</v>
      </c>
      <c r="G19" s="70">
        <f>12625/425</f>
        <v>29.705882352941178</v>
      </c>
      <c r="H19" s="70">
        <f>8723/146</f>
        <v>59.746575342465754</v>
      </c>
      <c r="I19" s="70" t="s">
        <v>12</v>
      </c>
      <c r="J19" s="70">
        <f>3902/279</f>
        <v>13.985663082437275</v>
      </c>
    </row>
    <row r="20" spans="1:10" ht="15.95" customHeight="1" x14ac:dyDescent="0.25">
      <c r="A20" s="15" t="s">
        <v>15</v>
      </c>
      <c r="B20" s="18" t="s">
        <v>28</v>
      </c>
      <c r="C20" s="70">
        <f>30703/1601</f>
        <v>19.17738913179263</v>
      </c>
      <c r="D20" s="70">
        <f>11039/590</f>
        <v>18.710169491525424</v>
      </c>
      <c r="E20" s="70" t="s">
        <v>12</v>
      </c>
      <c r="F20" s="70">
        <f>19664/1011</f>
        <v>19.450049455984175</v>
      </c>
      <c r="G20" s="70">
        <f>24092/1601</f>
        <v>15.048094940662086</v>
      </c>
      <c r="H20" s="70">
        <f>9415/590</f>
        <v>15.957627118644067</v>
      </c>
      <c r="I20" s="70" t="s">
        <v>12</v>
      </c>
      <c r="J20" s="70">
        <f>14677/1011</f>
        <v>14.517309594460929</v>
      </c>
    </row>
    <row r="21" spans="1:10" ht="15.95" customHeight="1" x14ac:dyDescent="0.25">
      <c r="A21" s="15" t="s">
        <v>17</v>
      </c>
      <c r="B21" s="18" t="s">
        <v>29</v>
      </c>
      <c r="C21" s="70">
        <f>33666/2540</f>
        <v>13.254330708661417</v>
      </c>
      <c r="D21" s="70">
        <f>11125/1067</f>
        <v>10.42642924086223</v>
      </c>
      <c r="E21" s="70">
        <f>2723/380</f>
        <v>7.1657894736842103</v>
      </c>
      <c r="F21" s="70">
        <f>19818/1093</f>
        <v>18.13174748398902</v>
      </c>
      <c r="G21" s="70">
        <f>31915/2540</f>
        <v>12.564960629921259</v>
      </c>
      <c r="H21" s="70">
        <f>9713/1067</f>
        <v>9.1030927835051543</v>
      </c>
      <c r="I21" s="70">
        <f>3426/380</f>
        <v>9.0157894736842099</v>
      </c>
      <c r="J21" s="70">
        <f>18776/1093</f>
        <v>17.178408051235131</v>
      </c>
    </row>
    <row r="22" spans="1:10" ht="15.95" customHeight="1" x14ac:dyDescent="0.25">
      <c r="A22" s="160" t="s">
        <v>31</v>
      </c>
      <c r="B22" s="160"/>
      <c r="C22" s="38">
        <f t="shared" ref="C22:J22" si="1">SUM(C18:C21)</f>
        <v>62.019219152191226</v>
      </c>
      <c r="D22" s="38">
        <f t="shared" si="1"/>
        <v>49.510517483018731</v>
      </c>
      <c r="E22" s="38">
        <f t="shared" si="1"/>
        <v>22.467159336697911</v>
      </c>
      <c r="F22" s="38">
        <f t="shared" si="1"/>
        <v>72.094636704361506</v>
      </c>
      <c r="G22" s="38">
        <f t="shared" si="1"/>
        <v>80.060747595911423</v>
      </c>
      <c r="H22" s="38">
        <f t="shared" si="1"/>
        <v>100.08002251734226</v>
      </c>
      <c r="I22" s="38">
        <f t="shared" si="1"/>
        <v>49.632227829848588</v>
      </c>
      <c r="J22" s="38">
        <f t="shared" si="1"/>
        <v>70.586617635864002</v>
      </c>
    </row>
    <row r="23" spans="1:10" ht="15.95" customHeight="1" x14ac:dyDescent="0.25">
      <c r="A23" s="110" t="s">
        <v>33</v>
      </c>
      <c r="B23" s="111"/>
      <c r="C23" s="38">
        <f>C22/4</f>
        <v>15.504804788047807</v>
      </c>
      <c r="D23" s="38">
        <f>D22/4</f>
        <v>12.377629370754683</v>
      </c>
      <c r="E23" s="38">
        <f>E22/2</f>
        <v>11.233579668348955</v>
      </c>
      <c r="F23" s="38">
        <f>F22/4</f>
        <v>18.023659176090376</v>
      </c>
      <c r="G23" s="38">
        <f>G22/4</f>
        <v>20.015186898977856</v>
      </c>
      <c r="H23" s="38">
        <f>H22/4</f>
        <v>25.020005629335564</v>
      </c>
      <c r="I23" s="38">
        <f>I22/2</f>
        <v>24.816113914924294</v>
      </c>
      <c r="J23" s="38">
        <f>J22/4</f>
        <v>17.646654408966</v>
      </c>
    </row>
    <row r="24" spans="1:10" ht="30" customHeight="1" x14ac:dyDescent="0.25">
      <c r="A24" s="161" t="s">
        <v>30</v>
      </c>
      <c r="B24" s="161"/>
      <c r="C24" s="71">
        <f t="shared" ref="C24:J24" si="2">SUM(C15,C22)</f>
        <v>187.37433547259985</v>
      </c>
      <c r="D24" s="71">
        <f t="shared" si="2"/>
        <v>160.87729234424648</v>
      </c>
      <c r="E24" s="71">
        <f t="shared" si="2"/>
        <v>149.23184363881279</v>
      </c>
      <c r="F24" s="71">
        <f t="shared" si="2"/>
        <v>147.17481022437084</v>
      </c>
      <c r="G24" s="71">
        <f t="shared" si="2"/>
        <v>197.57191411564173</v>
      </c>
      <c r="H24" s="71">
        <f t="shared" si="2"/>
        <v>215.1587270318218</v>
      </c>
      <c r="I24" s="71">
        <f t="shared" si="2"/>
        <v>134.33506456573315</v>
      </c>
      <c r="J24" s="71">
        <f t="shared" si="2"/>
        <v>140.99009486826424</v>
      </c>
    </row>
    <row r="25" spans="1:10" ht="33.75" customHeight="1" x14ac:dyDescent="0.25">
      <c r="A25" s="161" t="s">
        <v>32</v>
      </c>
      <c r="B25" s="161"/>
      <c r="C25" s="71">
        <f>C24/11</f>
        <v>17.034030497509079</v>
      </c>
      <c r="D25" s="71">
        <f>D24/11</f>
        <v>14.625208394931498</v>
      </c>
      <c r="E25" s="71">
        <f>E24/7</f>
        <v>21.318834805544686</v>
      </c>
      <c r="F25" s="71">
        <f>F24/8</f>
        <v>18.396851278046356</v>
      </c>
      <c r="G25" s="71">
        <f>G24/11</f>
        <v>17.961083101421977</v>
      </c>
      <c r="H25" s="71">
        <f>H24/11</f>
        <v>19.559884275620163</v>
      </c>
      <c r="I25" s="71">
        <f>I24/7</f>
        <v>19.190723509390448</v>
      </c>
      <c r="J25" s="71">
        <f>J24/8</f>
        <v>17.62376185853303</v>
      </c>
    </row>
  </sheetData>
  <mergeCells count="13">
    <mergeCell ref="A15:B15"/>
    <mergeCell ref="A17:J17"/>
    <mergeCell ref="A22:B22"/>
    <mergeCell ref="A24:B24"/>
    <mergeCell ref="A25:B25"/>
    <mergeCell ref="A16:B16"/>
    <mergeCell ref="A23:B23"/>
    <mergeCell ref="A5:A6"/>
    <mergeCell ref="B5:B6"/>
    <mergeCell ref="C5:F5"/>
    <mergeCell ref="G5:J5"/>
    <mergeCell ref="A2:J2"/>
    <mergeCell ref="A3:J3"/>
  </mergeCells>
  <pageMargins left="0.70000000000000007" right="0.70000000000000007" top="0.75" bottom="0.75" header="0.30000000000000004" footer="0.30000000000000004"/>
  <pageSetup orientation="portrait" r:id="rId1"/>
  <ignoredErrors>
    <ignoredError sqref="E23 I23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AB26"/>
  <sheetViews>
    <sheetView workbookViewId="0">
      <selection activeCell="X13" sqref="X13"/>
    </sheetView>
  </sheetViews>
  <sheetFormatPr defaultRowHeight="15" x14ac:dyDescent="0.25"/>
  <cols>
    <col min="1" max="1" width="4.42578125" customWidth="1"/>
    <col min="2" max="2" width="28.28515625" customWidth="1"/>
    <col min="3" max="3" width="11" customWidth="1"/>
    <col min="4" max="4" width="11.7109375" customWidth="1"/>
    <col min="5" max="5" width="7.7109375" customWidth="1"/>
    <col min="6" max="6" width="9.140625" customWidth="1"/>
    <col min="7" max="7" width="10.85546875" customWidth="1"/>
    <col min="8" max="8" width="11" customWidth="1"/>
    <col min="9" max="9" width="11.7109375" customWidth="1"/>
    <col min="10" max="10" width="7.5703125" customWidth="1"/>
    <col min="11" max="11" width="9.140625" customWidth="1"/>
    <col min="12" max="12" width="10.85546875" customWidth="1"/>
    <col min="13" max="13" width="11.140625" customWidth="1"/>
    <col min="14" max="14" width="12" customWidth="1"/>
    <col min="15" max="15" width="8" customWidth="1"/>
    <col min="16" max="16" width="9.140625" customWidth="1"/>
    <col min="17" max="17" width="10.85546875" customWidth="1"/>
    <col min="18" max="18" width="11.140625" customWidth="1"/>
    <col min="19" max="19" width="11.7109375" customWidth="1"/>
    <col min="20" max="20" width="7.7109375" customWidth="1"/>
    <col min="21" max="21" width="9.140625" customWidth="1"/>
    <col min="22" max="22" width="11" customWidth="1"/>
  </cols>
  <sheetData>
    <row r="2" spans="1:28" ht="15" customHeight="1" x14ac:dyDescent="0.25">
      <c r="A2" s="146" t="s">
        <v>70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42"/>
      <c r="X2" s="42"/>
      <c r="Y2" s="42"/>
      <c r="Z2" s="42"/>
      <c r="AA2" s="42"/>
      <c r="AB2" s="42"/>
    </row>
    <row r="3" spans="1:28" ht="15.75" customHeight="1" x14ac:dyDescent="0.25">
      <c r="A3" s="146" t="s">
        <v>98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42"/>
      <c r="X3" s="42"/>
      <c r="Y3" s="42"/>
      <c r="Z3" s="42"/>
      <c r="AA3" s="42"/>
      <c r="AB3" s="42"/>
    </row>
    <row r="5" spans="1:28" ht="15.75" customHeight="1" x14ac:dyDescent="0.25">
      <c r="A5" s="113" t="s">
        <v>0</v>
      </c>
      <c r="B5" s="113" t="s">
        <v>1</v>
      </c>
      <c r="C5" s="169" t="s">
        <v>50</v>
      </c>
      <c r="D5" s="169"/>
      <c r="E5" s="169"/>
      <c r="F5" s="169"/>
      <c r="G5" s="166" t="s">
        <v>105</v>
      </c>
      <c r="H5" s="163" t="s">
        <v>4</v>
      </c>
      <c r="I5" s="164"/>
      <c r="J5" s="164"/>
      <c r="K5" s="165"/>
      <c r="L5" s="166" t="s">
        <v>105</v>
      </c>
      <c r="M5" s="169" t="s">
        <v>47</v>
      </c>
      <c r="N5" s="169"/>
      <c r="O5" s="169"/>
      <c r="P5" s="169"/>
      <c r="Q5" s="166" t="s">
        <v>105</v>
      </c>
      <c r="R5" s="169" t="s">
        <v>48</v>
      </c>
      <c r="S5" s="169"/>
      <c r="T5" s="169"/>
      <c r="U5" s="169"/>
      <c r="V5" s="166" t="s">
        <v>105</v>
      </c>
    </row>
    <row r="6" spans="1:28" ht="15" customHeight="1" x14ac:dyDescent="0.25">
      <c r="A6" s="113"/>
      <c r="B6" s="113"/>
      <c r="C6" s="113" t="s">
        <v>73</v>
      </c>
      <c r="D6" s="141" t="s">
        <v>72</v>
      </c>
      <c r="E6" s="113" t="s">
        <v>71</v>
      </c>
      <c r="F6" s="113"/>
      <c r="G6" s="167"/>
      <c r="H6" s="113" t="s">
        <v>73</v>
      </c>
      <c r="I6" s="141" t="s">
        <v>72</v>
      </c>
      <c r="J6" s="113" t="s">
        <v>71</v>
      </c>
      <c r="K6" s="113"/>
      <c r="L6" s="167"/>
      <c r="M6" s="113" t="s">
        <v>73</v>
      </c>
      <c r="N6" s="141" t="s">
        <v>72</v>
      </c>
      <c r="O6" s="113" t="s">
        <v>71</v>
      </c>
      <c r="P6" s="113"/>
      <c r="Q6" s="167"/>
      <c r="R6" s="113" t="s">
        <v>73</v>
      </c>
      <c r="S6" s="141" t="s">
        <v>72</v>
      </c>
      <c r="T6" s="113" t="s">
        <v>71</v>
      </c>
      <c r="U6" s="113"/>
      <c r="V6" s="167"/>
    </row>
    <row r="7" spans="1:28" ht="47.25" customHeight="1" x14ac:dyDescent="0.25">
      <c r="A7" s="113"/>
      <c r="B7" s="113"/>
      <c r="C7" s="113"/>
      <c r="D7" s="142"/>
      <c r="E7" s="40" t="s">
        <v>74</v>
      </c>
      <c r="F7" s="40" t="s">
        <v>75</v>
      </c>
      <c r="G7" s="168"/>
      <c r="H7" s="113"/>
      <c r="I7" s="142"/>
      <c r="J7" s="40" t="s">
        <v>74</v>
      </c>
      <c r="K7" s="40" t="s">
        <v>75</v>
      </c>
      <c r="L7" s="168"/>
      <c r="M7" s="113"/>
      <c r="N7" s="142"/>
      <c r="O7" s="40" t="s">
        <v>74</v>
      </c>
      <c r="P7" s="40" t="s">
        <v>75</v>
      </c>
      <c r="Q7" s="168"/>
      <c r="R7" s="113"/>
      <c r="S7" s="142"/>
      <c r="T7" s="40" t="s">
        <v>74</v>
      </c>
      <c r="U7" s="40" t="s">
        <v>75</v>
      </c>
      <c r="V7" s="168"/>
    </row>
    <row r="8" spans="1:28" ht="15.95" customHeight="1" x14ac:dyDescent="0.25">
      <c r="A8" s="136" t="s">
        <v>8</v>
      </c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8"/>
      <c r="V8" s="41"/>
    </row>
    <row r="9" spans="1:28" ht="15.95" customHeight="1" x14ac:dyDescent="0.25">
      <c r="A9" s="15" t="s">
        <v>9</v>
      </c>
      <c r="B9" s="18" t="s">
        <v>10</v>
      </c>
      <c r="C9" s="45">
        <v>399</v>
      </c>
      <c r="D9" s="45">
        <v>108</v>
      </c>
      <c r="E9" s="45">
        <v>103</v>
      </c>
      <c r="F9" s="45">
        <v>108</v>
      </c>
      <c r="G9" s="45">
        <f>D9-111</f>
        <v>-3</v>
      </c>
      <c r="H9" s="45">
        <v>131</v>
      </c>
      <c r="I9" s="45">
        <v>41</v>
      </c>
      <c r="J9" s="45">
        <v>41</v>
      </c>
      <c r="K9" s="45">
        <v>41</v>
      </c>
      <c r="L9" s="45">
        <f>I9-42</f>
        <v>-1</v>
      </c>
      <c r="M9" s="45">
        <f>262+6</f>
        <v>268</v>
      </c>
      <c r="N9" s="45">
        <f>63+4</f>
        <v>67</v>
      </c>
      <c r="O9" s="45">
        <f>58+4</f>
        <v>62</v>
      </c>
      <c r="P9" s="62">
        <f>63+4</f>
        <v>67</v>
      </c>
      <c r="Q9" s="62">
        <f>N9-69</f>
        <v>-2</v>
      </c>
      <c r="R9" s="62" t="s">
        <v>12</v>
      </c>
      <c r="S9" s="62" t="s">
        <v>12</v>
      </c>
      <c r="T9" s="62" t="s">
        <v>12</v>
      </c>
      <c r="U9" s="62" t="s">
        <v>12</v>
      </c>
      <c r="V9" s="62" t="s">
        <v>12</v>
      </c>
    </row>
    <row r="10" spans="1:28" ht="15.95" customHeight="1" x14ac:dyDescent="0.25">
      <c r="A10" s="15" t="s">
        <v>13</v>
      </c>
      <c r="B10" s="18" t="s">
        <v>14</v>
      </c>
      <c r="C10" s="45">
        <v>378</v>
      </c>
      <c r="D10" s="45">
        <v>127</v>
      </c>
      <c r="E10" s="45">
        <v>118</v>
      </c>
      <c r="F10" s="45">
        <v>118</v>
      </c>
      <c r="G10" s="45">
        <f>D10-119</f>
        <v>8</v>
      </c>
      <c r="H10" s="45">
        <v>92</v>
      </c>
      <c r="I10" s="45">
        <v>28</v>
      </c>
      <c r="J10" s="45">
        <v>28</v>
      </c>
      <c r="K10" s="45">
        <v>28</v>
      </c>
      <c r="L10" s="45">
        <f>I10-28</f>
        <v>0</v>
      </c>
      <c r="M10" s="45">
        <v>20</v>
      </c>
      <c r="N10" s="45">
        <v>6</v>
      </c>
      <c r="O10" s="45">
        <v>6</v>
      </c>
      <c r="P10" s="62">
        <v>6</v>
      </c>
      <c r="Q10" s="62">
        <f>N10-6</f>
        <v>0</v>
      </c>
      <c r="R10" s="62">
        <v>266</v>
      </c>
      <c r="S10" s="62">
        <v>93</v>
      </c>
      <c r="T10" s="62">
        <v>84</v>
      </c>
      <c r="U10" s="62">
        <v>84</v>
      </c>
      <c r="V10" s="62">
        <f>S10-85</f>
        <v>8</v>
      </c>
    </row>
    <row r="11" spans="1:28" ht="15.95" customHeight="1" x14ac:dyDescent="0.25">
      <c r="A11" s="15" t="s">
        <v>15</v>
      </c>
      <c r="B11" s="18" t="s">
        <v>16</v>
      </c>
      <c r="C11" s="45">
        <v>392</v>
      </c>
      <c r="D11" s="45">
        <v>98</v>
      </c>
      <c r="E11" s="45">
        <v>92</v>
      </c>
      <c r="F11" s="45">
        <v>98</v>
      </c>
      <c r="G11" s="45">
        <f>D11-93</f>
        <v>5</v>
      </c>
      <c r="H11" s="45">
        <v>139</v>
      </c>
      <c r="I11" s="45">
        <v>27</v>
      </c>
      <c r="J11" s="45">
        <v>21</v>
      </c>
      <c r="K11" s="45">
        <v>27</v>
      </c>
      <c r="L11" s="45">
        <f>I11-22</f>
        <v>5</v>
      </c>
      <c r="M11" s="45">
        <v>28</v>
      </c>
      <c r="N11" s="45">
        <v>6</v>
      </c>
      <c r="O11" s="45">
        <v>6</v>
      </c>
      <c r="P11" s="62">
        <v>6</v>
      </c>
      <c r="Q11" s="62">
        <v>6</v>
      </c>
      <c r="R11" s="62">
        <v>225</v>
      </c>
      <c r="S11" s="62">
        <v>65</v>
      </c>
      <c r="T11" s="62">
        <v>65</v>
      </c>
      <c r="U11" s="62">
        <v>65</v>
      </c>
      <c r="V11" s="62">
        <f>S11-65</f>
        <v>0</v>
      </c>
    </row>
    <row r="12" spans="1:28" ht="15.95" customHeight="1" x14ac:dyDescent="0.25">
      <c r="A12" s="15" t="s">
        <v>17</v>
      </c>
      <c r="B12" s="18" t="s">
        <v>18</v>
      </c>
      <c r="C12" s="45">
        <v>31</v>
      </c>
      <c r="D12" s="45">
        <v>14</v>
      </c>
      <c r="E12" s="45">
        <v>11</v>
      </c>
      <c r="F12" s="45">
        <v>11</v>
      </c>
      <c r="G12" s="45">
        <f>D12-9</f>
        <v>5</v>
      </c>
      <c r="H12" s="45">
        <v>15</v>
      </c>
      <c r="I12" s="45">
        <v>10</v>
      </c>
      <c r="J12" s="45">
        <v>5</v>
      </c>
      <c r="K12" s="45">
        <v>5</v>
      </c>
      <c r="L12" s="45">
        <f>I12-5</f>
        <v>5</v>
      </c>
      <c r="M12" s="45">
        <v>16</v>
      </c>
      <c r="N12" s="45">
        <v>4</v>
      </c>
      <c r="O12" s="45">
        <v>6</v>
      </c>
      <c r="P12" s="62">
        <v>6</v>
      </c>
      <c r="Q12" s="62">
        <f>N12-8</f>
        <v>-4</v>
      </c>
      <c r="R12" s="62" t="s">
        <v>12</v>
      </c>
      <c r="S12" s="62" t="s">
        <v>12</v>
      </c>
      <c r="T12" s="62" t="s">
        <v>12</v>
      </c>
      <c r="U12" s="62" t="s">
        <v>12</v>
      </c>
      <c r="V12" s="62" t="s">
        <v>12</v>
      </c>
    </row>
    <row r="13" spans="1:28" ht="15.95" customHeight="1" x14ac:dyDescent="0.25">
      <c r="A13" s="15" t="s">
        <v>19</v>
      </c>
      <c r="B13" s="18" t="s">
        <v>20</v>
      </c>
      <c r="C13" s="45">
        <v>123</v>
      </c>
      <c r="D13" s="45">
        <v>22</v>
      </c>
      <c r="E13" s="45">
        <v>22</v>
      </c>
      <c r="F13" s="45">
        <v>22</v>
      </c>
      <c r="G13" s="45">
        <f>D13-30</f>
        <v>-8</v>
      </c>
      <c r="H13" s="45">
        <v>123</v>
      </c>
      <c r="I13" s="45">
        <v>22</v>
      </c>
      <c r="J13" s="45">
        <v>22</v>
      </c>
      <c r="K13" s="45">
        <v>22</v>
      </c>
      <c r="L13" s="45">
        <f>I13-30</f>
        <v>-8</v>
      </c>
      <c r="M13" s="45" t="s">
        <v>12</v>
      </c>
      <c r="N13" s="45" t="s">
        <v>12</v>
      </c>
      <c r="O13" s="45" t="s">
        <v>12</v>
      </c>
      <c r="P13" s="62" t="s">
        <v>12</v>
      </c>
      <c r="Q13" s="62" t="s">
        <v>12</v>
      </c>
      <c r="R13" s="62" t="s">
        <v>12</v>
      </c>
      <c r="S13" s="62" t="s">
        <v>12</v>
      </c>
      <c r="T13" s="62" t="s">
        <v>12</v>
      </c>
      <c r="U13" s="62" t="s">
        <v>12</v>
      </c>
      <c r="V13" s="62" t="s">
        <v>12</v>
      </c>
    </row>
    <row r="14" spans="1:28" ht="15.95" customHeight="1" x14ac:dyDescent="0.25">
      <c r="A14" s="15" t="s">
        <v>21</v>
      </c>
      <c r="B14" s="18" t="s">
        <v>22</v>
      </c>
      <c r="C14" s="45">
        <v>262</v>
      </c>
      <c r="D14" s="45">
        <v>104</v>
      </c>
      <c r="E14" s="45">
        <v>104</v>
      </c>
      <c r="F14" s="45">
        <v>104</v>
      </c>
      <c r="G14" s="45">
        <f>D14-112</f>
        <v>-8</v>
      </c>
      <c r="H14" s="45">
        <v>86</v>
      </c>
      <c r="I14" s="45">
        <v>15</v>
      </c>
      <c r="J14" s="45">
        <v>15</v>
      </c>
      <c r="K14" s="45">
        <v>15</v>
      </c>
      <c r="L14" s="45">
        <f>I14-15</f>
        <v>0</v>
      </c>
      <c r="M14" s="45">
        <v>16</v>
      </c>
      <c r="N14" s="45">
        <v>4</v>
      </c>
      <c r="O14" s="45">
        <v>4</v>
      </c>
      <c r="P14" s="62">
        <v>4</v>
      </c>
      <c r="Q14" s="62">
        <f>N14-4</f>
        <v>0</v>
      </c>
      <c r="R14" s="62">
        <v>160</v>
      </c>
      <c r="S14" s="62">
        <v>85</v>
      </c>
      <c r="T14" s="62">
        <v>85</v>
      </c>
      <c r="U14" s="62">
        <v>85</v>
      </c>
      <c r="V14" s="62">
        <f>S14-93</f>
        <v>-8</v>
      </c>
    </row>
    <row r="15" spans="1:28" ht="15.95" customHeight="1" x14ac:dyDescent="0.25">
      <c r="A15" s="15" t="s">
        <v>23</v>
      </c>
      <c r="B15" s="18" t="s">
        <v>24</v>
      </c>
      <c r="C15" s="45">
        <v>479</v>
      </c>
      <c r="D15" s="45">
        <v>172</v>
      </c>
      <c r="E15" s="45">
        <v>172</v>
      </c>
      <c r="F15" s="45">
        <v>172</v>
      </c>
      <c r="G15" s="45">
        <f>D15-128</f>
        <v>44</v>
      </c>
      <c r="H15" s="45">
        <v>102</v>
      </c>
      <c r="I15" s="45">
        <v>36</v>
      </c>
      <c r="J15" s="45">
        <v>36</v>
      </c>
      <c r="K15" s="45">
        <v>36</v>
      </c>
      <c r="L15" s="45">
        <f>I15-36</f>
        <v>0</v>
      </c>
      <c r="M15" s="45" t="s">
        <v>12</v>
      </c>
      <c r="N15" s="45" t="s">
        <v>12</v>
      </c>
      <c r="O15" s="45" t="s">
        <v>12</v>
      </c>
      <c r="P15" s="62" t="s">
        <v>12</v>
      </c>
      <c r="Q15" s="62" t="s">
        <v>12</v>
      </c>
      <c r="R15" s="62">
        <v>377</v>
      </c>
      <c r="S15" s="62">
        <v>136</v>
      </c>
      <c r="T15" s="62">
        <v>136</v>
      </c>
      <c r="U15" s="62">
        <v>136</v>
      </c>
      <c r="V15" s="62">
        <f>S15-92</f>
        <v>44</v>
      </c>
    </row>
    <row r="16" spans="1:28" ht="15.95" customHeight="1" x14ac:dyDescent="0.25">
      <c r="A16" s="160" t="s">
        <v>31</v>
      </c>
      <c r="B16" s="160"/>
      <c r="C16" s="21">
        <f t="shared" ref="C16:V16" si="0">SUM(C9:C15)</f>
        <v>2064</v>
      </c>
      <c r="D16" s="21">
        <f t="shared" si="0"/>
        <v>645</v>
      </c>
      <c r="E16" s="21">
        <f t="shared" si="0"/>
        <v>622</v>
      </c>
      <c r="F16" s="21">
        <f t="shared" si="0"/>
        <v>633</v>
      </c>
      <c r="G16" s="21">
        <f>SUM(G9:G15)</f>
        <v>43</v>
      </c>
      <c r="H16" s="21">
        <f t="shared" si="0"/>
        <v>688</v>
      </c>
      <c r="I16" s="21">
        <f t="shared" si="0"/>
        <v>179</v>
      </c>
      <c r="J16" s="21">
        <f t="shared" si="0"/>
        <v>168</v>
      </c>
      <c r="K16" s="21">
        <f t="shared" si="0"/>
        <v>174</v>
      </c>
      <c r="L16" s="21">
        <f t="shared" si="0"/>
        <v>1</v>
      </c>
      <c r="M16" s="21">
        <f t="shared" si="0"/>
        <v>348</v>
      </c>
      <c r="N16" s="21">
        <f t="shared" si="0"/>
        <v>87</v>
      </c>
      <c r="O16" s="21">
        <f t="shared" si="0"/>
        <v>84</v>
      </c>
      <c r="P16" s="21">
        <f t="shared" si="0"/>
        <v>89</v>
      </c>
      <c r="Q16" s="21">
        <f t="shared" si="0"/>
        <v>0</v>
      </c>
      <c r="R16" s="21">
        <f t="shared" si="0"/>
        <v>1028</v>
      </c>
      <c r="S16" s="21">
        <f t="shared" si="0"/>
        <v>379</v>
      </c>
      <c r="T16" s="21">
        <f t="shared" si="0"/>
        <v>370</v>
      </c>
      <c r="U16" s="21">
        <f t="shared" si="0"/>
        <v>370</v>
      </c>
      <c r="V16" s="21">
        <f t="shared" si="0"/>
        <v>44</v>
      </c>
    </row>
    <row r="17" spans="1:22" ht="15.95" customHeight="1" x14ac:dyDescent="0.25">
      <c r="A17" s="160" t="s">
        <v>33</v>
      </c>
      <c r="B17" s="160"/>
      <c r="C17" s="21">
        <f t="shared" ref="C17:L17" si="1">C16/7</f>
        <v>294.85714285714283</v>
      </c>
      <c r="D17" s="21">
        <f t="shared" si="1"/>
        <v>92.142857142857139</v>
      </c>
      <c r="E17" s="21">
        <f t="shared" si="1"/>
        <v>88.857142857142861</v>
      </c>
      <c r="F17" s="21">
        <f t="shared" si="1"/>
        <v>90.428571428571431</v>
      </c>
      <c r="G17" s="21">
        <f t="shared" si="1"/>
        <v>6.1428571428571432</v>
      </c>
      <c r="H17" s="21">
        <f t="shared" si="1"/>
        <v>98.285714285714292</v>
      </c>
      <c r="I17" s="21">
        <f t="shared" si="1"/>
        <v>25.571428571428573</v>
      </c>
      <c r="J17" s="21">
        <f t="shared" si="1"/>
        <v>24</v>
      </c>
      <c r="K17" s="21">
        <f t="shared" si="1"/>
        <v>24.857142857142858</v>
      </c>
      <c r="L17" s="38">
        <f t="shared" si="1"/>
        <v>0.14285714285714285</v>
      </c>
      <c r="M17" s="21">
        <f>M16/5</f>
        <v>69.599999999999994</v>
      </c>
      <c r="N17" s="21">
        <f>N16/5</f>
        <v>17.399999999999999</v>
      </c>
      <c r="O17" s="21">
        <f>O16/5</f>
        <v>16.8</v>
      </c>
      <c r="P17" s="21">
        <f>P16/5</f>
        <v>17.8</v>
      </c>
      <c r="Q17" s="21">
        <f>Q16/5</f>
        <v>0</v>
      </c>
      <c r="R17" s="21">
        <f t="shared" ref="R17:V17" si="2">R16/4</f>
        <v>257</v>
      </c>
      <c r="S17" s="21">
        <f t="shared" si="2"/>
        <v>94.75</v>
      </c>
      <c r="T17" s="21">
        <f t="shared" si="2"/>
        <v>92.5</v>
      </c>
      <c r="U17" s="21">
        <f t="shared" si="2"/>
        <v>92.5</v>
      </c>
      <c r="V17" s="21">
        <f t="shared" si="2"/>
        <v>11</v>
      </c>
    </row>
    <row r="18" spans="1:22" ht="15.95" customHeight="1" x14ac:dyDescent="0.25">
      <c r="A18" s="136" t="s">
        <v>25</v>
      </c>
      <c r="B18" s="137"/>
      <c r="C18" s="137"/>
      <c r="D18" s="137"/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8"/>
      <c r="V18" s="41"/>
    </row>
    <row r="19" spans="1:22" ht="15.95" customHeight="1" x14ac:dyDescent="0.25">
      <c r="A19" s="15" t="s">
        <v>9</v>
      </c>
      <c r="B19" s="18" t="s">
        <v>26</v>
      </c>
      <c r="C19" s="45">
        <v>289</v>
      </c>
      <c r="D19" s="45">
        <v>89</v>
      </c>
      <c r="E19" s="45">
        <v>41</v>
      </c>
      <c r="F19" s="45">
        <v>89</v>
      </c>
      <c r="G19" s="45">
        <f>D19-121</f>
        <v>-32</v>
      </c>
      <c r="H19" s="45">
        <v>80</v>
      </c>
      <c r="I19" s="45">
        <v>41</v>
      </c>
      <c r="J19" s="45">
        <v>41</v>
      </c>
      <c r="K19" s="45">
        <v>41</v>
      </c>
      <c r="L19" s="45">
        <f>I19-41</f>
        <v>0</v>
      </c>
      <c r="M19" s="45">
        <v>2</v>
      </c>
      <c r="N19" s="45">
        <v>2</v>
      </c>
      <c r="O19" s="45">
        <v>0</v>
      </c>
      <c r="P19" s="62">
        <v>2</v>
      </c>
      <c r="Q19" s="62">
        <f>N19-2</f>
        <v>0</v>
      </c>
      <c r="R19" s="62">
        <v>207</v>
      </c>
      <c r="S19" s="62">
        <v>46</v>
      </c>
      <c r="T19" s="62">
        <v>0</v>
      </c>
      <c r="U19" s="62">
        <v>46</v>
      </c>
      <c r="V19" s="62">
        <f>S19-78</f>
        <v>-32</v>
      </c>
    </row>
    <row r="20" spans="1:22" ht="15.95" customHeight="1" x14ac:dyDescent="0.25">
      <c r="A20" s="15" t="s">
        <v>13</v>
      </c>
      <c r="B20" s="18" t="s">
        <v>27</v>
      </c>
      <c r="C20" s="45">
        <v>128</v>
      </c>
      <c r="D20" s="45">
        <v>43</v>
      </c>
      <c r="E20" s="45">
        <v>43</v>
      </c>
      <c r="F20" s="45">
        <v>43</v>
      </c>
      <c r="G20" s="45">
        <f>D20-43</f>
        <v>0</v>
      </c>
      <c r="H20" s="45">
        <v>67</v>
      </c>
      <c r="I20" s="45">
        <v>19</v>
      </c>
      <c r="J20" s="45">
        <v>19</v>
      </c>
      <c r="K20" s="45">
        <v>19</v>
      </c>
      <c r="L20" s="45">
        <f>I20-19</f>
        <v>0</v>
      </c>
      <c r="M20" s="45" t="s">
        <v>12</v>
      </c>
      <c r="N20" s="45" t="s">
        <v>12</v>
      </c>
      <c r="O20" s="45" t="s">
        <v>12</v>
      </c>
      <c r="P20" s="62" t="s">
        <v>12</v>
      </c>
      <c r="Q20" s="62" t="s">
        <v>12</v>
      </c>
      <c r="R20" s="62">
        <v>61</v>
      </c>
      <c r="S20" s="62">
        <v>24</v>
      </c>
      <c r="T20" s="62">
        <v>24</v>
      </c>
      <c r="U20" s="62">
        <v>24</v>
      </c>
      <c r="V20" s="62">
        <f>S20-24</f>
        <v>0</v>
      </c>
    </row>
    <row r="21" spans="1:22" ht="15.95" customHeight="1" x14ac:dyDescent="0.25">
      <c r="A21" s="15" t="s">
        <v>15</v>
      </c>
      <c r="B21" s="18" t="s">
        <v>28</v>
      </c>
      <c r="C21" s="45">
        <v>205</v>
      </c>
      <c r="D21" s="45">
        <v>99</v>
      </c>
      <c r="E21" s="45">
        <v>99</v>
      </c>
      <c r="F21" s="45">
        <v>99</v>
      </c>
      <c r="G21" s="45">
        <f>D21-99</f>
        <v>0</v>
      </c>
      <c r="H21" s="45">
        <v>40</v>
      </c>
      <c r="I21" s="45">
        <v>16</v>
      </c>
      <c r="J21" s="45">
        <v>16</v>
      </c>
      <c r="K21" s="45">
        <v>16</v>
      </c>
      <c r="L21" s="45">
        <f>I21-15</f>
        <v>1</v>
      </c>
      <c r="M21" s="45" t="s">
        <v>12</v>
      </c>
      <c r="N21" s="45" t="s">
        <v>12</v>
      </c>
      <c r="O21" s="45" t="s">
        <v>12</v>
      </c>
      <c r="P21" s="62" t="s">
        <v>12</v>
      </c>
      <c r="Q21" s="62" t="s">
        <v>12</v>
      </c>
      <c r="R21" s="62">
        <v>165</v>
      </c>
      <c r="S21" s="62">
        <v>83</v>
      </c>
      <c r="T21" s="62">
        <v>83</v>
      </c>
      <c r="U21" s="62">
        <v>83</v>
      </c>
      <c r="V21" s="62">
        <f>S21-84</f>
        <v>-1</v>
      </c>
    </row>
    <row r="22" spans="1:22" ht="15.95" customHeight="1" x14ac:dyDescent="0.25">
      <c r="A22" s="15" t="s">
        <v>17</v>
      </c>
      <c r="B22" s="18" t="s">
        <v>29</v>
      </c>
      <c r="C22" s="45">
        <v>408</v>
      </c>
      <c r="D22" s="45">
        <v>125</v>
      </c>
      <c r="E22" s="45">
        <v>125</v>
      </c>
      <c r="F22" s="45">
        <v>125</v>
      </c>
      <c r="G22" s="45">
        <f>D22-125</f>
        <v>0</v>
      </c>
      <c r="H22" s="45">
        <v>116</v>
      </c>
      <c r="I22" s="45">
        <v>31</v>
      </c>
      <c r="J22" s="45">
        <v>31</v>
      </c>
      <c r="K22" s="45">
        <v>31</v>
      </c>
      <c r="L22" s="45">
        <f>I22-31</f>
        <v>0</v>
      </c>
      <c r="M22" s="45">
        <v>22</v>
      </c>
      <c r="N22" s="45">
        <v>10</v>
      </c>
      <c r="O22" s="45">
        <v>10</v>
      </c>
      <c r="P22" s="62">
        <v>10</v>
      </c>
      <c r="Q22" s="62">
        <f>N22-10</f>
        <v>0</v>
      </c>
      <c r="R22" s="62">
        <v>270</v>
      </c>
      <c r="S22" s="62">
        <v>84</v>
      </c>
      <c r="T22" s="62">
        <v>84</v>
      </c>
      <c r="U22" s="62">
        <v>84</v>
      </c>
      <c r="V22" s="62">
        <f>S22-84</f>
        <v>0</v>
      </c>
    </row>
    <row r="23" spans="1:22" ht="15.95" customHeight="1" x14ac:dyDescent="0.25">
      <c r="A23" s="160" t="s">
        <v>31</v>
      </c>
      <c r="B23" s="160"/>
      <c r="C23" s="21">
        <f t="shared" ref="C23:V23" si="3">SUM(C19:C22)</f>
        <v>1030</v>
      </c>
      <c r="D23" s="21">
        <f t="shared" si="3"/>
        <v>356</v>
      </c>
      <c r="E23" s="21">
        <f t="shared" si="3"/>
        <v>308</v>
      </c>
      <c r="F23" s="21">
        <f t="shared" si="3"/>
        <v>356</v>
      </c>
      <c r="G23" s="21">
        <f t="shared" si="3"/>
        <v>-32</v>
      </c>
      <c r="H23" s="21">
        <f t="shared" si="3"/>
        <v>303</v>
      </c>
      <c r="I23" s="21">
        <f t="shared" si="3"/>
        <v>107</v>
      </c>
      <c r="J23" s="21">
        <f t="shared" si="3"/>
        <v>107</v>
      </c>
      <c r="K23" s="21">
        <f t="shared" si="3"/>
        <v>107</v>
      </c>
      <c r="L23" s="21">
        <f t="shared" si="3"/>
        <v>1</v>
      </c>
      <c r="M23" s="21">
        <f t="shared" si="3"/>
        <v>24</v>
      </c>
      <c r="N23" s="21">
        <f t="shared" si="3"/>
        <v>12</v>
      </c>
      <c r="O23" s="21">
        <f t="shared" si="3"/>
        <v>10</v>
      </c>
      <c r="P23" s="21">
        <f t="shared" si="3"/>
        <v>12</v>
      </c>
      <c r="Q23" s="21">
        <f t="shared" si="3"/>
        <v>0</v>
      </c>
      <c r="R23" s="21">
        <f t="shared" si="3"/>
        <v>703</v>
      </c>
      <c r="S23" s="21">
        <f t="shared" si="3"/>
        <v>237</v>
      </c>
      <c r="T23" s="21">
        <f t="shared" si="3"/>
        <v>191</v>
      </c>
      <c r="U23" s="21">
        <f t="shared" si="3"/>
        <v>237</v>
      </c>
      <c r="V23" s="21">
        <f t="shared" si="3"/>
        <v>-33</v>
      </c>
    </row>
    <row r="24" spans="1:22" ht="15.95" customHeight="1" x14ac:dyDescent="0.25">
      <c r="A24" s="160" t="s">
        <v>33</v>
      </c>
      <c r="B24" s="160"/>
      <c r="C24" s="21">
        <f t="shared" ref="C24:L24" si="4">C23/4</f>
        <v>257.5</v>
      </c>
      <c r="D24" s="21">
        <f t="shared" si="4"/>
        <v>89</v>
      </c>
      <c r="E24" s="21">
        <f t="shared" si="4"/>
        <v>77</v>
      </c>
      <c r="F24" s="21">
        <f t="shared" si="4"/>
        <v>89</v>
      </c>
      <c r="G24" s="21">
        <f t="shared" si="4"/>
        <v>-8</v>
      </c>
      <c r="H24" s="21">
        <f t="shared" si="4"/>
        <v>75.75</v>
      </c>
      <c r="I24" s="21">
        <f t="shared" si="4"/>
        <v>26.75</v>
      </c>
      <c r="J24" s="21">
        <f t="shared" si="4"/>
        <v>26.75</v>
      </c>
      <c r="K24" s="21">
        <f t="shared" si="4"/>
        <v>26.75</v>
      </c>
      <c r="L24" s="38">
        <f t="shared" si="4"/>
        <v>0.25</v>
      </c>
      <c r="M24" s="21">
        <f>M23/2</f>
        <v>12</v>
      </c>
      <c r="N24" s="21">
        <f>N23/2</f>
        <v>6</v>
      </c>
      <c r="O24" s="21">
        <f>O23/2</f>
        <v>5</v>
      </c>
      <c r="P24" s="21">
        <f>P23/2</f>
        <v>6</v>
      </c>
      <c r="Q24" s="21">
        <v>0</v>
      </c>
      <c r="R24" s="21">
        <f>R23/4</f>
        <v>175.75</v>
      </c>
      <c r="S24" s="21">
        <f>S23/4</f>
        <v>59.25</v>
      </c>
      <c r="T24" s="21">
        <f>T23/4</f>
        <v>47.75</v>
      </c>
      <c r="U24" s="21">
        <f>U23/4</f>
        <v>59.25</v>
      </c>
      <c r="V24" s="21">
        <f>V23/4</f>
        <v>-8.25</v>
      </c>
    </row>
    <row r="25" spans="1:22" ht="30" customHeight="1" x14ac:dyDescent="0.25">
      <c r="A25" s="161" t="s">
        <v>30</v>
      </c>
      <c r="B25" s="161"/>
      <c r="C25" s="51">
        <f t="shared" ref="C25:P25" si="5">SUM(C16,C23)</f>
        <v>3094</v>
      </c>
      <c r="D25" s="51">
        <f t="shared" si="5"/>
        <v>1001</v>
      </c>
      <c r="E25" s="51">
        <f t="shared" si="5"/>
        <v>930</v>
      </c>
      <c r="F25" s="51">
        <f t="shared" si="5"/>
        <v>989</v>
      </c>
      <c r="G25" s="51">
        <f t="shared" si="5"/>
        <v>11</v>
      </c>
      <c r="H25" s="51">
        <f t="shared" si="5"/>
        <v>991</v>
      </c>
      <c r="I25" s="51">
        <f t="shared" si="5"/>
        <v>286</v>
      </c>
      <c r="J25" s="51">
        <f t="shared" si="5"/>
        <v>275</v>
      </c>
      <c r="K25" s="51">
        <f t="shared" si="5"/>
        <v>281</v>
      </c>
      <c r="L25" s="51">
        <f t="shared" si="5"/>
        <v>2</v>
      </c>
      <c r="M25" s="51">
        <f t="shared" si="5"/>
        <v>372</v>
      </c>
      <c r="N25" s="51">
        <f t="shared" si="5"/>
        <v>99</v>
      </c>
      <c r="O25" s="51">
        <f t="shared" si="5"/>
        <v>94</v>
      </c>
      <c r="P25" s="51">
        <f t="shared" si="5"/>
        <v>101</v>
      </c>
      <c r="Q25" s="51">
        <v>8</v>
      </c>
      <c r="R25" s="51">
        <f>SUM(R16,R23)</f>
        <v>1731</v>
      </c>
      <c r="S25" s="51">
        <f>SUM(S16,S23)</f>
        <v>616</v>
      </c>
      <c r="T25" s="51">
        <f>SUM(T16,T23)</f>
        <v>561</v>
      </c>
      <c r="U25" s="51">
        <f>SUM(U16,U23)</f>
        <v>607</v>
      </c>
      <c r="V25" s="51">
        <f>SUM(V16,V23)</f>
        <v>11</v>
      </c>
    </row>
    <row r="26" spans="1:22" ht="33" customHeight="1" x14ac:dyDescent="0.25">
      <c r="A26" s="161" t="s">
        <v>32</v>
      </c>
      <c r="B26" s="161"/>
      <c r="C26" s="51">
        <f t="shared" ref="C26:L26" si="6">C25/11</f>
        <v>281.27272727272725</v>
      </c>
      <c r="D26" s="51">
        <f t="shared" si="6"/>
        <v>91</v>
      </c>
      <c r="E26" s="51">
        <f t="shared" si="6"/>
        <v>84.545454545454547</v>
      </c>
      <c r="F26" s="51">
        <f t="shared" si="6"/>
        <v>89.909090909090907</v>
      </c>
      <c r="G26" s="51">
        <f t="shared" si="6"/>
        <v>1</v>
      </c>
      <c r="H26" s="51">
        <f t="shared" si="6"/>
        <v>90.090909090909093</v>
      </c>
      <c r="I26" s="51">
        <f t="shared" si="6"/>
        <v>26</v>
      </c>
      <c r="J26" s="51">
        <f t="shared" si="6"/>
        <v>25</v>
      </c>
      <c r="K26" s="51">
        <f t="shared" si="6"/>
        <v>25.545454545454547</v>
      </c>
      <c r="L26" s="71">
        <f t="shared" si="6"/>
        <v>0.18181818181818182</v>
      </c>
      <c r="M26" s="51">
        <f>M25/7</f>
        <v>53.142857142857146</v>
      </c>
      <c r="N26" s="51">
        <f>N25/7</f>
        <v>14.142857142857142</v>
      </c>
      <c r="O26" s="51">
        <f>O25/7</f>
        <v>13.428571428571429</v>
      </c>
      <c r="P26" s="51">
        <f>P25/7</f>
        <v>14.428571428571429</v>
      </c>
      <c r="Q26" s="51">
        <f>Q25/7</f>
        <v>1.1428571428571428</v>
      </c>
      <c r="R26" s="51">
        <f>R25/8</f>
        <v>216.375</v>
      </c>
      <c r="S26" s="51">
        <f>S25/8</f>
        <v>77</v>
      </c>
      <c r="T26" s="51">
        <f>T25/8</f>
        <v>70.125</v>
      </c>
      <c r="U26" s="51">
        <f>U25/8</f>
        <v>75.875</v>
      </c>
      <c r="V26" s="51">
        <f>V25/8</f>
        <v>1.375</v>
      </c>
    </row>
  </sheetData>
  <mergeCells count="32">
    <mergeCell ref="A8:U8"/>
    <mergeCell ref="A26:B26"/>
    <mergeCell ref="E6:F6"/>
    <mergeCell ref="C6:C7"/>
    <mergeCell ref="A5:A7"/>
    <mergeCell ref="B5:B7"/>
    <mergeCell ref="C5:F5"/>
    <mergeCell ref="J6:K6"/>
    <mergeCell ref="A18:U18"/>
    <mergeCell ref="A16:B16"/>
    <mergeCell ref="A17:B17"/>
    <mergeCell ref="A23:B23"/>
    <mergeCell ref="A24:B24"/>
    <mergeCell ref="A25:B25"/>
    <mergeCell ref="M5:P5"/>
    <mergeCell ref="R5:U5"/>
    <mergeCell ref="A2:V2"/>
    <mergeCell ref="A3:V3"/>
    <mergeCell ref="D6:D7"/>
    <mergeCell ref="I6:I7"/>
    <mergeCell ref="N6:N7"/>
    <mergeCell ref="S6:S7"/>
    <mergeCell ref="H5:K5"/>
    <mergeCell ref="H6:H7"/>
    <mergeCell ref="G5:G7"/>
    <mergeCell ref="L5:L7"/>
    <mergeCell ref="Q5:Q7"/>
    <mergeCell ref="V5:V7"/>
    <mergeCell ref="O6:P6"/>
    <mergeCell ref="T6:U6"/>
    <mergeCell ref="M6:M7"/>
    <mergeCell ref="R6:R7"/>
  </mergeCells>
  <pageMargins left="0.7" right="0.7" top="0.75" bottom="0.75" header="0.3" footer="0.3"/>
  <pageSetup paperSize="9" orientation="portrait" r:id="rId1"/>
  <ignoredErrors>
    <ignoredError sqref="O9" 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T36"/>
  <sheetViews>
    <sheetView workbookViewId="0">
      <selection activeCell="F8" sqref="F8"/>
    </sheetView>
  </sheetViews>
  <sheetFormatPr defaultRowHeight="15" x14ac:dyDescent="0.25"/>
  <cols>
    <col min="1" max="1" width="3.7109375" customWidth="1"/>
    <col min="2" max="2" width="29.28515625" customWidth="1"/>
    <col min="3" max="4" width="8.85546875" customWidth="1"/>
    <col min="5" max="5" width="10.42578125" customWidth="1"/>
    <col min="6" max="6" width="15.85546875" customWidth="1"/>
    <col min="7" max="7" width="8.85546875" customWidth="1"/>
    <col min="8" max="8" width="8.7109375" customWidth="1"/>
    <col min="9" max="9" width="10.7109375" customWidth="1"/>
    <col min="10" max="10" width="15.85546875" customWidth="1"/>
    <col min="11" max="11" width="8.85546875" customWidth="1"/>
    <col min="12" max="12" width="9" customWidth="1"/>
    <col min="13" max="13" width="10.5703125" customWidth="1"/>
    <col min="14" max="14" width="16" customWidth="1"/>
    <col min="15" max="16" width="8.7109375" customWidth="1"/>
    <col min="17" max="17" width="10.5703125" customWidth="1"/>
    <col min="18" max="18" width="16.140625" customWidth="1"/>
  </cols>
  <sheetData>
    <row r="2" spans="1:19" ht="15.75" x14ac:dyDescent="0.25">
      <c r="A2" s="139" t="s">
        <v>101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</row>
    <row r="4" spans="1:19" ht="15.95" customHeight="1" x14ac:dyDescent="0.25">
      <c r="A4" s="113" t="s">
        <v>0</v>
      </c>
      <c r="B4" s="113" t="s">
        <v>1</v>
      </c>
      <c r="C4" s="169" t="s">
        <v>50</v>
      </c>
      <c r="D4" s="169"/>
      <c r="E4" s="169"/>
      <c r="F4" s="169"/>
      <c r="G4" s="163" t="s">
        <v>4</v>
      </c>
      <c r="H4" s="164"/>
      <c r="I4" s="164"/>
      <c r="J4" s="165"/>
      <c r="K4" s="169" t="s">
        <v>47</v>
      </c>
      <c r="L4" s="169"/>
      <c r="M4" s="169"/>
      <c r="N4" s="169"/>
      <c r="O4" s="169" t="s">
        <v>48</v>
      </c>
      <c r="P4" s="169"/>
      <c r="Q4" s="169"/>
      <c r="R4" s="169"/>
    </row>
    <row r="5" spans="1:19" ht="29.25" customHeight="1" x14ac:dyDescent="0.25">
      <c r="A5" s="113"/>
      <c r="B5" s="113"/>
      <c r="C5" s="113" t="s">
        <v>76</v>
      </c>
      <c r="D5" s="113" t="s">
        <v>78</v>
      </c>
      <c r="E5" s="141" t="s">
        <v>77</v>
      </c>
      <c r="F5" s="141" t="s">
        <v>106</v>
      </c>
      <c r="G5" s="113" t="s">
        <v>76</v>
      </c>
      <c r="H5" s="113" t="s">
        <v>78</v>
      </c>
      <c r="I5" s="141" t="s">
        <v>77</v>
      </c>
      <c r="J5" s="141" t="s">
        <v>106</v>
      </c>
      <c r="K5" s="113" t="s">
        <v>76</v>
      </c>
      <c r="L5" s="113" t="s">
        <v>78</v>
      </c>
      <c r="M5" s="141" t="s">
        <v>77</v>
      </c>
      <c r="N5" s="141" t="s">
        <v>106</v>
      </c>
      <c r="O5" s="113" t="s">
        <v>76</v>
      </c>
      <c r="P5" s="113" t="s">
        <v>78</v>
      </c>
      <c r="Q5" s="141" t="s">
        <v>77</v>
      </c>
      <c r="R5" s="141" t="s">
        <v>106</v>
      </c>
    </row>
    <row r="6" spans="1:19" ht="48.75" customHeight="1" x14ac:dyDescent="0.25">
      <c r="A6" s="113"/>
      <c r="B6" s="113"/>
      <c r="C6" s="113"/>
      <c r="D6" s="113"/>
      <c r="E6" s="142"/>
      <c r="F6" s="142"/>
      <c r="G6" s="113"/>
      <c r="H6" s="113"/>
      <c r="I6" s="142"/>
      <c r="J6" s="142"/>
      <c r="K6" s="113"/>
      <c r="L6" s="113"/>
      <c r="M6" s="142"/>
      <c r="N6" s="142"/>
      <c r="O6" s="113"/>
      <c r="P6" s="113"/>
      <c r="Q6" s="142"/>
      <c r="R6" s="142"/>
    </row>
    <row r="7" spans="1:19" ht="15.95" customHeight="1" x14ac:dyDescent="0.25">
      <c r="A7" s="136" t="s">
        <v>8</v>
      </c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8"/>
    </row>
    <row r="8" spans="1:19" ht="15.95" customHeight="1" x14ac:dyDescent="0.25">
      <c r="A8" s="15" t="s">
        <v>9</v>
      </c>
      <c r="B8" s="18" t="s">
        <v>10</v>
      </c>
      <c r="C8" s="45">
        <v>68683</v>
      </c>
      <c r="D8" s="45">
        <v>68602</v>
      </c>
      <c r="E8" s="81">
        <f>C8/12</f>
        <v>5723.583333333333</v>
      </c>
      <c r="F8" s="45">
        <f>E8-6685</f>
        <v>-961.41666666666697</v>
      </c>
      <c r="G8" s="45">
        <v>18474</v>
      </c>
      <c r="H8" s="45">
        <v>18420</v>
      </c>
      <c r="I8" s="45">
        <v>18474</v>
      </c>
      <c r="J8" s="45">
        <f>I8-36463</f>
        <v>-17989</v>
      </c>
      <c r="K8" s="45">
        <f>47854+2355</f>
        <v>50209</v>
      </c>
      <c r="L8" s="45">
        <f>47827+2355</f>
        <v>50182</v>
      </c>
      <c r="M8" s="84">
        <f>K8/11</f>
        <v>4564.454545454545</v>
      </c>
      <c r="N8" s="62">
        <f>M8-3978</f>
        <v>586.45454545454504</v>
      </c>
      <c r="O8" s="62" t="s">
        <v>12</v>
      </c>
      <c r="P8" s="62" t="s">
        <v>12</v>
      </c>
      <c r="Q8" s="84" t="s">
        <v>12</v>
      </c>
      <c r="R8" s="62" t="s">
        <v>12</v>
      </c>
    </row>
    <row r="9" spans="1:19" ht="15.95" customHeight="1" x14ac:dyDescent="0.25">
      <c r="A9" s="15" t="s">
        <v>13</v>
      </c>
      <c r="B9" s="18" t="s">
        <v>14</v>
      </c>
      <c r="C9" s="45">
        <v>5101</v>
      </c>
      <c r="D9" s="45">
        <v>5101</v>
      </c>
      <c r="E9" s="81">
        <f>C9/26</f>
        <v>196.19230769230768</v>
      </c>
      <c r="F9" s="45">
        <f>E9-167</f>
        <v>29.192307692307679</v>
      </c>
      <c r="G9" s="45">
        <v>457</v>
      </c>
      <c r="H9" s="45">
        <v>457</v>
      </c>
      <c r="I9" s="45">
        <v>457</v>
      </c>
      <c r="J9" s="45">
        <f>I9-651</f>
        <v>-194</v>
      </c>
      <c r="K9" s="45">
        <v>91</v>
      </c>
      <c r="L9" s="45">
        <v>91</v>
      </c>
      <c r="M9" s="45">
        <v>116</v>
      </c>
      <c r="N9" s="62">
        <f>M9-116</f>
        <v>0</v>
      </c>
      <c r="O9" s="62">
        <v>4553</v>
      </c>
      <c r="P9" s="62">
        <v>4553</v>
      </c>
      <c r="Q9" s="84">
        <f>O9/24</f>
        <v>189.70833333333334</v>
      </c>
      <c r="R9" s="62">
        <f>Q9-149</f>
        <v>40.708333333333343</v>
      </c>
      <c r="S9" s="43"/>
    </row>
    <row r="10" spans="1:19" ht="15.95" customHeight="1" x14ac:dyDescent="0.25">
      <c r="A10" s="15" t="s">
        <v>15</v>
      </c>
      <c r="B10" s="18" t="s">
        <v>16</v>
      </c>
      <c r="C10" s="45">
        <v>13331</v>
      </c>
      <c r="D10" s="45">
        <v>13297</v>
      </c>
      <c r="E10" s="81">
        <f>C10/20</f>
        <v>666.55</v>
      </c>
      <c r="F10" s="45">
        <f>E10-1182</f>
        <v>-515.45000000000005</v>
      </c>
      <c r="G10" s="45">
        <v>9696</v>
      </c>
      <c r="H10" s="45">
        <v>9696</v>
      </c>
      <c r="I10" s="45">
        <v>9696</v>
      </c>
      <c r="J10" s="45">
        <f>I10-19366</f>
        <v>-9670</v>
      </c>
      <c r="K10" s="45">
        <v>528</v>
      </c>
      <c r="L10" s="45">
        <v>526</v>
      </c>
      <c r="M10" s="45">
        <v>537</v>
      </c>
      <c r="N10" s="62">
        <f>M10-537</f>
        <v>0</v>
      </c>
      <c r="O10" s="62">
        <v>3107</v>
      </c>
      <c r="P10" s="62">
        <v>3075</v>
      </c>
      <c r="Q10" s="84">
        <f>O10/18</f>
        <v>172.61111111111111</v>
      </c>
      <c r="R10" s="62">
        <f>Q10-207</f>
        <v>-34.388888888888886</v>
      </c>
      <c r="S10" s="43"/>
    </row>
    <row r="11" spans="1:19" ht="15.95" customHeight="1" x14ac:dyDescent="0.25">
      <c r="A11" s="15" t="s">
        <v>17</v>
      </c>
      <c r="B11" s="18" t="s">
        <v>18</v>
      </c>
      <c r="C11" s="45">
        <v>1990</v>
      </c>
      <c r="D11" s="45">
        <v>1794</v>
      </c>
      <c r="E11" s="81">
        <f>C11/3</f>
        <v>663.33333333333337</v>
      </c>
      <c r="F11" s="45">
        <f>E11-1438</f>
        <v>-774.66666666666663</v>
      </c>
      <c r="G11" s="45">
        <v>1105</v>
      </c>
      <c r="H11" s="45">
        <v>995</v>
      </c>
      <c r="I11" s="45">
        <v>1105</v>
      </c>
      <c r="J11" s="45">
        <f>I11-1050</f>
        <v>55</v>
      </c>
      <c r="K11" s="45">
        <v>885</v>
      </c>
      <c r="L11" s="45">
        <v>799</v>
      </c>
      <c r="M11" s="84">
        <f>K11/2</f>
        <v>442.5</v>
      </c>
      <c r="N11" s="62">
        <f>M11-1632</f>
        <v>-1189.5</v>
      </c>
      <c r="O11" s="62" t="s">
        <v>12</v>
      </c>
      <c r="P11" s="62" t="s">
        <v>12</v>
      </c>
      <c r="Q11" s="84" t="s">
        <v>12</v>
      </c>
      <c r="R11" s="62" t="s">
        <v>12</v>
      </c>
    </row>
    <row r="12" spans="1:19" ht="15.95" customHeight="1" x14ac:dyDescent="0.25">
      <c r="A12" s="15" t="s">
        <v>19</v>
      </c>
      <c r="B12" s="18" t="s">
        <v>20</v>
      </c>
      <c r="C12" s="45">
        <v>1243</v>
      </c>
      <c r="D12" s="45">
        <v>1243</v>
      </c>
      <c r="E12" s="82">
        <f>C12/3</f>
        <v>414.33333333333331</v>
      </c>
      <c r="F12" s="45">
        <f>E12-446</f>
        <v>-31.666666666666686</v>
      </c>
      <c r="G12" s="45">
        <v>1243</v>
      </c>
      <c r="H12" s="45">
        <v>1243</v>
      </c>
      <c r="I12" s="45">
        <v>1243</v>
      </c>
      <c r="J12" s="45">
        <f>I12-1338</f>
        <v>-95</v>
      </c>
      <c r="K12" s="45" t="s">
        <v>12</v>
      </c>
      <c r="L12" s="45" t="s">
        <v>12</v>
      </c>
      <c r="M12" s="84" t="s">
        <v>12</v>
      </c>
      <c r="N12" s="62" t="s">
        <v>12</v>
      </c>
      <c r="O12" s="62" t="s">
        <v>12</v>
      </c>
      <c r="P12" s="62" t="s">
        <v>12</v>
      </c>
      <c r="Q12" s="84" t="s">
        <v>12</v>
      </c>
      <c r="R12" s="62" t="s">
        <v>12</v>
      </c>
    </row>
    <row r="13" spans="1:19" ht="15.95" customHeight="1" x14ac:dyDescent="0.25">
      <c r="A13" s="15" t="s">
        <v>21</v>
      </c>
      <c r="B13" s="18" t="s">
        <v>22</v>
      </c>
      <c r="C13" s="45">
        <v>8442</v>
      </c>
      <c r="D13" s="45">
        <v>8275</v>
      </c>
      <c r="E13" s="81">
        <f>C13/15</f>
        <v>562.79999999999995</v>
      </c>
      <c r="F13" s="45">
        <f>E13-612</f>
        <v>-49.200000000000045</v>
      </c>
      <c r="G13" s="45">
        <v>4018</v>
      </c>
      <c r="H13" s="45">
        <v>4018</v>
      </c>
      <c r="I13" s="45">
        <v>4018</v>
      </c>
      <c r="J13" s="45">
        <f>I13-4726</f>
        <v>-708</v>
      </c>
      <c r="K13" s="45">
        <v>518</v>
      </c>
      <c r="L13" s="45">
        <v>457</v>
      </c>
      <c r="M13" s="45">
        <v>542</v>
      </c>
      <c r="N13" s="62">
        <f>M13-542</f>
        <v>0</v>
      </c>
      <c r="O13" s="62">
        <v>3906</v>
      </c>
      <c r="P13" s="62">
        <v>3800</v>
      </c>
      <c r="Q13" s="84">
        <f>O13/13</f>
        <v>300.46153846153845</v>
      </c>
      <c r="R13" s="62">
        <f>Q13-301</f>
        <v>-0.53846153846154721</v>
      </c>
      <c r="S13" s="43"/>
    </row>
    <row r="14" spans="1:19" ht="15.95" customHeight="1" x14ac:dyDescent="0.25">
      <c r="A14" s="15" t="s">
        <v>23</v>
      </c>
      <c r="B14" s="18" t="s">
        <v>24</v>
      </c>
      <c r="C14" s="45">
        <v>13000</v>
      </c>
      <c r="D14" s="45">
        <v>13000</v>
      </c>
      <c r="E14" s="81">
        <f>C14/22</f>
        <v>590.90909090909088</v>
      </c>
      <c r="F14" s="45">
        <f>E14-776</f>
        <v>-185.09090909090912</v>
      </c>
      <c r="G14" s="45">
        <v>5679</v>
      </c>
      <c r="H14" s="45">
        <v>5679</v>
      </c>
      <c r="I14" s="45">
        <v>5679</v>
      </c>
      <c r="J14" s="45">
        <f>I14-7355</f>
        <v>-1676</v>
      </c>
      <c r="K14" s="45" t="s">
        <v>12</v>
      </c>
      <c r="L14" s="45" t="s">
        <v>12</v>
      </c>
      <c r="M14" s="84" t="s">
        <v>12</v>
      </c>
      <c r="N14" s="62" t="s">
        <v>12</v>
      </c>
      <c r="O14" s="62">
        <v>7321</v>
      </c>
      <c r="P14" s="62">
        <v>7321</v>
      </c>
      <c r="Q14" s="84">
        <f>O14/21</f>
        <v>348.61904761904759</v>
      </c>
      <c r="R14" s="62">
        <f>Q14-463</f>
        <v>-114.38095238095241</v>
      </c>
      <c r="S14" s="43"/>
    </row>
    <row r="15" spans="1:19" ht="15.95" customHeight="1" x14ac:dyDescent="0.25">
      <c r="A15" s="160" t="s">
        <v>31</v>
      </c>
      <c r="B15" s="160"/>
      <c r="C15" s="21">
        <f t="shared" ref="C15:R15" si="0">SUM(C8:C14)</f>
        <v>111790</v>
      </c>
      <c r="D15" s="21">
        <f t="shared" si="0"/>
        <v>111312</v>
      </c>
      <c r="E15" s="21">
        <f t="shared" si="0"/>
        <v>8817.7013986013972</v>
      </c>
      <c r="F15" s="21">
        <f t="shared" si="0"/>
        <v>-2488.2986013986019</v>
      </c>
      <c r="G15" s="21">
        <f t="shared" si="0"/>
        <v>40672</v>
      </c>
      <c r="H15" s="21">
        <f t="shared" si="0"/>
        <v>40508</v>
      </c>
      <c r="I15" s="21">
        <f t="shared" si="0"/>
        <v>40672</v>
      </c>
      <c r="J15" s="21">
        <f t="shared" si="0"/>
        <v>-30277</v>
      </c>
      <c r="K15" s="21">
        <f t="shared" si="0"/>
        <v>52231</v>
      </c>
      <c r="L15" s="21">
        <f t="shared" si="0"/>
        <v>52055</v>
      </c>
      <c r="M15" s="21">
        <f t="shared" si="0"/>
        <v>6201.954545454545</v>
      </c>
      <c r="N15" s="21">
        <f t="shared" si="0"/>
        <v>-603.04545454545496</v>
      </c>
      <c r="O15" s="21">
        <f t="shared" si="0"/>
        <v>18887</v>
      </c>
      <c r="P15" s="21">
        <f t="shared" si="0"/>
        <v>18749</v>
      </c>
      <c r="Q15" s="21">
        <f t="shared" si="0"/>
        <v>1011.4000305250305</v>
      </c>
      <c r="R15" s="21">
        <f t="shared" si="0"/>
        <v>-108.5999694749695</v>
      </c>
    </row>
    <row r="16" spans="1:19" ht="15.95" customHeight="1" x14ac:dyDescent="0.25">
      <c r="A16" s="160" t="s">
        <v>33</v>
      </c>
      <c r="B16" s="160"/>
      <c r="C16" s="21">
        <f t="shared" ref="C16:J16" si="1">C15/7</f>
        <v>15970</v>
      </c>
      <c r="D16" s="21">
        <f t="shared" si="1"/>
        <v>15901.714285714286</v>
      </c>
      <c r="E16" s="21">
        <f t="shared" si="1"/>
        <v>1259.6716283716282</v>
      </c>
      <c r="F16" s="21">
        <f t="shared" si="1"/>
        <v>-355.47122877122882</v>
      </c>
      <c r="G16" s="21">
        <f t="shared" si="1"/>
        <v>5810.2857142857147</v>
      </c>
      <c r="H16" s="21">
        <f t="shared" si="1"/>
        <v>5786.8571428571431</v>
      </c>
      <c r="I16" s="21">
        <f t="shared" si="1"/>
        <v>5810.2857142857147</v>
      </c>
      <c r="J16" s="21">
        <f t="shared" si="1"/>
        <v>-4325.2857142857147</v>
      </c>
      <c r="K16" s="21">
        <f>K15/5</f>
        <v>10446.200000000001</v>
      </c>
      <c r="L16" s="21">
        <f>L15/5</f>
        <v>10411</v>
      </c>
      <c r="M16" s="21">
        <f>M15/5</f>
        <v>1240.390909090909</v>
      </c>
      <c r="N16" s="21">
        <f>N15/5</f>
        <v>-120.60909090909099</v>
      </c>
      <c r="O16" s="21">
        <f>O15/4</f>
        <v>4721.75</v>
      </c>
      <c r="P16" s="21">
        <f>P15/4</f>
        <v>4687.25</v>
      </c>
      <c r="Q16" s="21">
        <f>Q15/4</f>
        <v>252.85000763125763</v>
      </c>
      <c r="R16" s="21">
        <f>R15/4</f>
        <v>-27.149992368742375</v>
      </c>
    </row>
    <row r="17" spans="1:19" ht="15.95" customHeight="1" x14ac:dyDescent="0.25">
      <c r="A17" s="136" t="s">
        <v>25</v>
      </c>
      <c r="B17" s="137"/>
      <c r="C17" s="137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8"/>
    </row>
    <row r="18" spans="1:19" ht="15.95" customHeight="1" x14ac:dyDescent="0.25">
      <c r="A18" s="15" t="s">
        <v>9</v>
      </c>
      <c r="B18" s="18" t="s">
        <v>26</v>
      </c>
      <c r="C18" s="45">
        <v>5384</v>
      </c>
      <c r="D18" s="45">
        <v>5159</v>
      </c>
      <c r="E18" s="84">
        <f>C18/25</f>
        <v>215.36</v>
      </c>
      <c r="F18" s="45">
        <f>E18-217</f>
        <v>-1.6399999999999864</v>
      </c>
      <c r="G18" s="45">
        <v>3132</v>
      </c>
      <c r="H18" s="45">
        <v>3060</v>
      </c>
      <c r="I18" s="45">
        <v>3132</v>
      </c>
      <c r="J18" s="45">
        <f>I18-3159</f>
        <v>-27</v>
      </c>
      <c r="K18" s="45">
        <v>15</v>
      </c>
      <c r="L18" s="45">
        <v>15</v>
      </c>
      <c r="M18" s="84">
        <v>14</v>
      </c>
      <c r="N18" s="62">
        <f>M18-14</f>
        <v>0</v>
      </c>
      <c r="O18" s="62">
        <v>2237</v>
      </c>
      <c r="P18" s="62">
        <v>2084</v>
      </c>
      <c r="Q18" s="84">
        <f>O18/23</f>
        <v>97.260869565217391</v>
      </c>
      <c r="R18" s="62">
        <f>Q18-108</f>
        <v>-10.739130434782609</v>
      </c>
      <c r="S18" s="43"/>
    </row>
    <row r="19" spans="1:19" ht="15.95" customHeight="1" x14ac:dyDescent="0.25">
      <c r="A19" s="15" t="s">
        <v>13</v>
      </c>
      <c r="B19" s="18" t="s">
        <v>27</v>
      </c>
      <c r="C19" s="45">
        <v>1975</v>
      </c>
      <c r="D19" s="45">
        <v>1975</v>
      </c>
      <c r="E19" s="84">
        <f>C19/9</f>
        <v>219.44444444444446</v>
      </c>
      <c r="F19" s="45">
        <f>E19-432</f>
        <v>-212.55555555555554</v>
      </c>
      <c r="G19" s="45">
        <v>1439</v>
      </c>
      <c r="H19" s="45">
        <v>1439</v>
      </c>
      <c r="I19" s="45">
        <v>1439</v>
      </c>
      <c r="J19" s="45">
        <f>I19-3067</f>
        <v>-1628</v>
      </c>
      <c r="K19" s="45" t="s">
        <v>12</v>
      </c>
      <c r="L19" s="45" t="s">
        <v>12</v>
      </c>
      <c r="M19" s="84" t="s">
        <v>12</v>
      </c>
      <c r="N19" s="62" t="s">
        <v>12</v>
      </c>
      <c r="O19" s="62">
        <v>536</v>
      </c>
      <c r="P19" s="62">
        <v>536</v>
      </c>
      <c r="Q19" s="84">
        <f>O19/8</f>
        <v>67</v>
      </c>
      <c r="R19" s="62">
        <f>Q19-103</f>
        <v>-36</v>
      </c>
      <c r="S19" s="43"/>
    </row>
    <row r="20" spans="1:19" ht="15.95" customHeight="1" x14ac:dyDescent="0.25">
      <c r="A20" s="15" t="s">
        <v>15</v>
      </c>
      <c r="B20" s="18" t="s">
        <v>28</v>
      </c>
      <c r="C20" s="45">
        <v>2519</v>
      </c>
      <c r="D20" s="45">
        <v>2419</v>
      </c>
      <c r="E20" s="84">
        <f>C20/24</f>
        <v>104.95833333333333</v>
      </c>
      <c r="F20" s="45">
        <f>E20-118</f>
        <v>-13.041666666666671</v>
      </c>
      <c r="G20" s="45">
        <v>484</v>
      </c>
      <c r="H20" s="45">
        <v>460</v>
      </c>
      <c r="I20" s="45">
        <v>484</v>
      </c>
      <c r="J20" s="45">
        <f>I20-706</f>
        <v>-222</v>
      </c>
      <c r="K20" s="45" t="s">
        <v>12</v>
      </c>
      <c r="L20" s="45" t="s">
        <v>12</v>
      </c>
      <c r="M20" s="84" t="s">
        <v>12</v>
      </c>
      <c r="N20" s="62" t="s">
        <v>12</v>
      </c>
      <c r="O20" s="62">
        <v>2035</v>
      </c>
      <c r="P20" s="62">
        <v>1959</v>
      </c>
      <c r="Q20" s="84">
        <f>O20/23</f>
        <v>88.478260869565219</v>
      </c>
      <c r="R20" s="62">
        <f>Q20-93</f>
        <v>-4.5217391304347814</v>
      </c>
      <c r="S20" s="43"/>
    </row>
    <row r="21" spans="1:19" ht="15.95" customHeight="1" x14ac:dyDescent="0.25">
      <c r="A21" s="15" t="s">
        <v>17</v>
      </c>
      <c r="B21" s="18" t="s">
        <v>29</v>
      </c>
      <c r="C21" s="45">
        <v>11555</v>
      </c>
      <c r="D21" s="45">
        <v>11376</v>
      </c>
      <c r="E21" s="84">
        <f>C21/29</f>
        <v>398.44827586206895</v>
      </c>
      <c r="F21" s="45">
        <f>E21-494</f>
        <v>-95.551724137931046</v>
      </c>
      <c r="G21" s="45">
        <v>3542</v>
      </c>
      <c r="H21" s="45">
        <v>3540</v>
      </c>
      <c r="I21" s="45">
        <v>3542</v>
      </c>
      <c r="J21" s="45">
        <f>I21-3734</f>
        <v>-192</v>
      </c>
      <c r="K21" s="45">
        <v>1870</v>
      </c>
      <c r="L21" s="45">
        <v>1870</v>
      </c>
      <c r="M21" s="84">
        <f>K21/2</f>
        <v>935</v>
      </c>
      <c r="N21" s="62">
        <f>M21-1309</f>
        <v>-374</v>
      </c>
      <c r="O21" s="62">
        <v>6143</v>
      </c>
      <c r="P21" s="62">
        <v>5966</v>
      </c>
      <c r="Q21" s="84">
        <f>O21/24</f>
        <v>255.95833333333334</v>
      </c>
      <c r="R21" s="62">
        <f>Q21-312</f>
        <v>-56.041666666666657</v>
      </c>
      <c r="S21" s="43"/>
    </row>
    <row r="22" spans="1:19" ht="15.95" customHeight="1" x14ac:dyDescent="0.25">
      <c r="A22" s="160" t="s">
        <v>31</v>
      </c>
      <c r="B22" s="160"/>
      <c r="C22" s="21">
        <f t="shared" ref="C22:R22" si="2">SUM(C18:C21)</f>
        <v>21433</v>
      </c>
      <c r="D22" s="21">
        <f t="shared" si="2"/>
        <v>20929</v>
      </c>
      <c r="E22" s="21">
        <f t="shared" si="2"/>
        <v>938.2110536398468</v>
      </c>
      <c r="F22" s="21">
        <f t="shared" si="2"/>
        <v>-322.78894636015326</v>
      </c>
      <c r="G22" s="21">
        <f t="shared" si="2"/>
        <v>8597</v>
      </c>
      <c r="H22" s="21">
        <f t="shared" si="2"/>
        <v>8499</v>
      </c>
      <c r="I22" s="21">
        <f t="shared" si="2"/>
        <v>8597</v>
      </c>
      <c r="J22" s="21">
        <f t="shared" si="2"/>
        <v>-2069</v>
      </c>
      <c r="K22" s="21">
        <f t="shared" si="2"/>
        <v>1885</v>
      </c>
      <c r="L22" s="21">
        <f t="shared" si="2"/>
        <v>1885</v>
      </c>
      <c r="M22" s="21">
        <f t="shared" si="2"/>
        <v>949</v>
      </c>
      <c r="N22" s="21">
        <f t="shared" si="2"/>
        <v>-374</v>
      </c>
      <c r="O22" s="21">
        <f t="shared" si="2"/>
        <v>10951</v>
      </c>
      <c r="P22" s="21">
        <f t="shared" si="2"/>
        <v>10545</v>
      </c>
      <c r="Q22" s="21">
        <f t="shared" si="2"/>
        <v>508.69746376811594</v>
      </c>
      <c r="R22" s="21">
        <f t="shared" si="2"/>
        <v>-107.30253623188405</v>
      </c>
    </row>
    <row r="23" spans="1:19" ht="15.95" customHeight="1" x14ac:dyDescent="0.25">
      <c r="A23" s="160" t="s">
        <v>33</v>
      </c>
      <c r="B23" s="160"/>
      <c r="C23" s="21">
        <f t="shared" ref="C23:J23" si="3">C22/4</f>
        <v>5358.25</v>
      </c>
      <c r="D23" s="21">
        <f t="shared" si="3"/>
        <v>5232.25</v>
      </c>
      <c r="E23" s="21">
        <f t="shared" si="3"/>
        <v>234.5527634099617</v>
      </c>
      <c r="F23" s="21">
        <f t="shared" si="3"/>
        <v>-80.697236590038315</v>
      </c>
      <c r="G23" s="21">
        <f t="shared" si="3"/>
        <v>2149.25</v>
      </c>
      <c r="H23" s="21">
        <f t="shared" si="3"/>
        <v>2124.75</v>
      </c>
      <c r="I23" s="21">
        <f t="shared" si="3"/>
        <v>2149.25</v>
      </c>
      <c r="J23" s="21">
        <f t="shared" si="3"/>
        <v>-517.25</v>
      </c>
      <c r="K23" s="21">
        <f>K22/2</f>
        <v>942.5</v>
      </c>
      <c r="L23" s="21">
        <f>L22/2</f>
        <v>942.5</v>
      </c>
      <c r="M23" s="21">
        <f>M22/2</f>
        <v>474.5</v>
      </c>
      <c r="N23" s="21">
        <f>N22/2</f>
        <v>-187</v>
      </c>
      <c r="O23" s="21">
        <f>O22/4</f>
        <v>2737.75</v>
      </c>
      <c r="P23" s="21">
        <f>P22/4</f>
        <v>2636.25</v>
      </c>
      <c r="Q23" s="21">
        <f>Q22/4</f>
        <v>127.17436594202898</v>
      </c>
      <c r="R23" s="21">
        <f>R22/4</f>
        <v>-26.825634057971012</v>
      </c>
    </row>
    <row r="24" spans="1:19" ht="27.75" customHeight="1" x14ac:dyDescent="0.25">
      <c r="A24" s="161" t="s">
        <v>30</v>
      </c>
      <c r="B24" s="161"/>
      <c r="C24" s="51">
        <f t="shared" ref="C24:R24" si="4">SUM(C15,C22)</f>
        <v>133223</v>
      </c>
      <c r="D24" s="51">
        <f t="shared" si="4"/>
        <v>132241</v>
      </c>
      <c r="E24" s="51">
        <f t="shared" si="4"/>
        <v>9755.912452241244</v>
      </c>
      <c r="F24" s="51">
        <f t="shared" si="4"/>
        <v>-2811.0875477587551</v>
      </c>
      <c r="G24" s="51">
        <f t="shared" si="4"/>
        <v>49269</v>
      </c>
      <c r="H24" s="51">
        <f t="shared" si="4"/>
        <v>49007</v>
      </c>
      <c r="I24" s="51">
        <f t="shared" si="4"/>
        <v>49269</v>
      </c>
      <c r="J24" s="51">
        <f t="shared" si="4"/>
        <v>-32346</v>
      </c>
      <c r="K24" s="51">
        <f t="shared" si="4"/>
        <v>54116</v>
      </c>
      <c r="L24" s="51">
        <f t="shared" si="4"/>
        <v>53940</v>
      </c>
      <c r="M24" s="51">
        <f t="shared" si="4"/>
        <v>7150.954545454545</v>
      </c>
      <c r="N24" s="51">
        <f t="shared" si="4"/>
        <v>-977.04545454545496</v>
      </c>
      <c r="O24" s="51">
        <f t="shared" si="4"/>
        <v>29838</v>
      </c>
      <c r="P24" s="51">
        <f t="shared" si="4"/>
        <v>29294</v>
      </c>
      <c r="Q24" s="51">
        <f t="shared" si="4"/>
        <v>1520.0974942931464</v>
      </c>
      <c r="R24" s="51">
        <f t="shared" si="4"/>
        <v>-215.90250570685356</v>
      </c>
    </row>
    <row r="25" spans="1:19" ht="31.5" customHeight="1" x14ac:dyDescent="0.25">
      <c r="A25" s="161" t="s">
        <v>32</v>
      </c>
      <c r="B25" s="161"/>
      <c r="C25" s="51">
        <f t="shared" ref="C25:J25" si="5">C24/11</f>
        <v>12111.181818181818</v>
      </c>
      <c r="D25" s="51">
        <f t="shared" si="5"/>
        <v>12021.90909090909</v>
      </c>
      <c r="E25" s="51">
        <f t="shared" si="5"/>
        <v>886.90113202193129</v>
      </c>
      <c r="F25" s="51">
        <f t="shared" si="5"/>
        <v>-255.55341343261409</v>
      </c>
      <c r="G25" s="51">
        <f t="shared" si="5"/>
        <v>4479</v>
      </c>
      <c r="H25" s="51">
        <f t="shared" si="5"/>
        <v>4455.181818181818</v>
      </c>
      <c r="I25" s="51">
        <f t="shared" si="5"/>
        <v>4479</v>
      </c>
      <c r="J25" s="51">
        <f t="shared" si="5"/>
        <v>-2940.5454545454545</v>
      </c>
      <c r="K25" s="51">
        <f>K24/7</f>
        <v>7730.8571428571431</v>
      </c>
      <c r="L25" s="51">
        <f>L24/7</f>
        <v>7705.7142857142853</v>
      </c>
      <c r="M25" s="51">
        <f>M24/7</f>
        <v>1021.564935064935</v>
      </c>
      <c r="N25" s="51">
        <f>N24/7</f>
        <v>-139.57792207792212</v>
      </c>
      <c r="O25" s="51">
        <f>O24/8</f>
        <v>3729.75</v>
      </c>
      <c r="P25" s="51">
        <f>P24/8</f>
        <v>3661.75</v>
      </c>
      <c r="Q25" s="51">
        <f>Q24/8</f>
        <v>190.0121867866433</v>
      </c>
      <c r="R25" s="51">
        <f>R24/8</f>
        <v>-26.987813213356695</v>
      </c>
    </row>
    <row r="26" spans="1:19" x14ac:dyDescent="0.25">
      <c r="O26" s="83"/>
    </row>
    <row r="27" spans="1:19" x14ac:dyDescent="0.25">
      <c r="O27" s="83"/>
    </row>
    <row r="36" spans="20:20" x14ac:dyDescent="0.25">
      <c r="T36" t="s">
        <v>107</v>
      </c>
    </row>
  </sheetData>
  <mergeCells count="31">
    <mergeCell ref="A24:B24"/>
    <mergeCell ref="B4:B6"/>
    <mergeCell ref="A25:B25"/>
    <mergeCell ref="D5:D6"/>
    <mergeCell ref="H5:H6"/>
    <mergeCell ref="A17:R17"/>
    <mergeCell ref="A22:B22"/>
    <mergeCell ref="A23:B23"/>
    <mergeCell ref="A7:R7"/>
    <mergeCell ref="A15:B15"/>
    <mergeCell ref="A16:B16"/>
    <mergeCell ref="K5:K6"/>
    <mergeCell ref="M5:M6"/>
    <mergeCell ref="O5:O6"/>
    <mergeCell ref="Q5:Q6"/>
    <mergeCell ref="A4:A6"/>
    <mergeCell ref="A2:R2"/>
    <mergeCell ref="K4:N4"/>
    <mergeCell ref="O4:R4"/>
    <mergeCell ref="C5:C6"/>
    <mergeCell ref="E5:E6"/>
    <mergeCell ref="G5:G6"/>
    <mergeCell ref="I5:I6"/>
    <mergeCell ref="C4:F4"/>
    <mergeCell ref="G4:J4"/>
    <mergeCell ref="J5:J6"/>
    <mergeCell ref="F5:F6"/>
    <mergeCell ref="N5:N6"/>
    <mergeCell ref="R5:R6"/>
    <mergeCell ref="L5:L6"/>
    <mergeCell ref="P5:P6"/>
  </mergeCells>
  <pageMargins left="0.7" right="0.7" top="0.75" bottom="0.75" header="0.3" footer="0.3"/>
  <pageSetup paperSize="9" orientation="portrait" r:id="rId1"/>
  <ignoredErrors>
    <ignoredError sqref="Q19" formula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R25"/>
  <sheetViews>
    <sheetView workbookViewId="0">
      <selection activeCell="F25" sqref="F25"/>
    </sheetView>
  </sheetViews>
  <sheetFormatPr defaultRowHeight="15" x14ac:dyDescent="0.25"/>
  <cols>
    <col min="1" max="1" width="4" customWidth="1"/>
    <col min="2" max="2" width="28.42578125" customWidth="1"/>
    <col min="3" max="3" width="8.85546875" customWidth="1"/>
    <col min="4" max="4" width="8.140625" customWidth="1"/>
    <col min="5" max="5" width="14.42578125" customWidth="1"/>
    <col min="6" max="6" width="18" customWidth="1"/>
    <col min="7" max="7" width="9" customWidth="1"/>
    <col min="8" max="8" width="8.140625" customWidth="1"/>
    <col min="9" max="9" width="14.42578125" customWidth="1"/>
    <col min="10" max="10" width="18" customWidth="1"/>
    <col min="11" max="11" width="8.85546875" customWidth="1"/>
    <col min="12" max="12" width="8.140625" customWidth="1"/>
    <col min="13" max="13" width="14.5703125" customWidth="1"/>
    <col min="14" max="14" width="18.140625" customWidth="1"/>
    <col min="15" max="15" width="8.85546875" customWidth="1"/>
    <col min="16" max="16" width="8.140625" customWidth="1"/>
    <col min="17" max="17" width="14.42578125" customWidth="1"/>
    <col min="18" max="18" width="18" customWidth="1"/>
  </cols>
  <sheetData>
    <row r="2" spans="1:18" ht="15.75" x14ac:dyDescent="0.25">
      <c r="A2" s="170" t="s">
        <v>102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</row>
    <row r="3" spans="1:18" ht="15.75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</row>
    <row r="4" spans="1:18" ht="15.95" customHeight="1" x14ac:dyDescent="0.25">
      <c r="A4" s="113" t="s">
        <v>0</v>
      </c>
      <c r="B4" s="113" t="s">
        <v>1</v>
      </c>
      <c r="C4" s="163" t="s">
        <v>50</v>
      </c>
      <c r="D4" s="164"/>
      <c r="E4" s="164"/>
      <c r="F4" s="165"/>
      <c r="G4" s="163" t="s">
        <v>4</v>
      </c>
      <c r="H4" s="164"/>
      <c r="I4" s="164"/>
      <c r="J4" s="165"/>
      <c r="K4" s="163" t="s">
        <v>47</v>
      </c>
      <c r="L4" s="164"/>
      <c r="M4" s="164"/>
      <c r="N4" s="165"/>
      <c r="O4" s="163" t="s">
        <v>48</v>
      </c>
      <c r="P4" s="164"/>
      <c r="Q4" s="164"/>
      <c r="R4" s="165"/>
    </row>
    <row r="5" spans="1:18" ht="15.95" customHeight="1" x14ac:dyDescent="0.25">
      <c r="A5" s="113"/>
      <c r="B5" s="113"/>
      <c r="C5" s="113" t="s">
        <v>79</v>
      </c>
      <c r="D5" s="141" t="s">
        <v>81</v>
      </c>
      <c r="E5" s="141" t="s">
        <v>80</v>
      </c>
      <c r="F5" s="141" t="s">
        <v>104</v>
      </c>
      <c r="G5" s="113" t="s">
        <v>79</v>
      </c>
      <c r="H5" s="141" t="s">
        <v>81</v>
      </c>
      <c r="I5" s="141" t="s">
        <v>80</v>
      </c>
      <c r="J5" s="141" t="s">
        <v>104</v>
      </c>
      <c r="K5" s="113" t="s">
        <v>79</v>
      </c>
      <c r="L5" s="141" t="s">
        <v>81</v>
      </c>
      <c r="M5" s="141" t="s">
        <v>80</v>
      </c>
      <c r="N5" s="141" t="s">
        <v>104</v>
      </c>
      <c r="O5" s="113" t="s">
        <v>79</v>
      </c>
      <c r="P5" s="141" t="s">
        <v>81</v>
      </c>
      <c r="Q5" s="141" t="s">
        <v>80</v>
      </c>
      <c r="R5" s="141" t="s">
        <v>104</v>
      </c>
    </row>
    <row r="6" spans="1:18" ht="45" customHeight="1" x14ac:dyDescent="0.25">
      <c r="A6" s="113"/>
      <c r="B6" s="113"/>
      <c r="C6" s="113"/>
      <c r="D6" s="142"/>
      <c r="E6" s="142"/>
      <c r="F6" s="142"/>
      <c r="G6" s="113"/>
      <c r="H6" s="142"/>
      <c r="I6" s="142"/>
      <c r="J6" s="142"/>
      <c r="K6" s="113"/>
      <c r="L6" s="142"/>
      <c r="M6" s="142"/>
      <c r="N6" s="142"/>
      <c r="O6" s="113"/>
      <c r="P6" s="142"/>
      <c r="Q6" s="142"/>
      <c r="R6" s="142"/>
    </row>
    <row r="7" spans="1:18" ht="15.95" customHeight="1" x14ac:dyDescent="0.25">
      <c r="A7" s="136" t="s">
        <v>8</v>
      </c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8"/>
      <c r="R7" s="44"/>
    </row>
    <row r="8" spans="1:18" ht="15.95" customHeight="1" x14ac:dyDescent="0.25">
      <c r="A8" s="15" t="s">
        <v>9</v>
      </c>
      <c r="B8" s="18" t="s">
        <v>10</v>
      </c>
      <c r="C8" s="45">
        <v>1127</v>
      </c>
      <c r="D8" s="81">
        <v>266</v>
      </c>
      <c r="E8" s="45">
        <f>C8/12</f>
        <v>93.916666666666671</v>
      </c>
      <c r="F8" s="45">
        <f>E8-110</f>
        <v>-16.083333333333329</v>
      </c>
      <c r="G8" s="45">
        <v>508</v>
      </c>
      <c r="H8" s="45">
        <v>82</v>
      </c>
      <c r="I8" s="45">
        <v>508</v>
      </c>
      <c r="J8" s="45">
        <f>I8-403</f>
        <v>105</v>
      </c>
      <c r="K8" s="45">
        <f>590+29</f>
        <v>619</v>
      </c>
      <c r="L8" s="45">
        <f>167+17</f>
        <v>184</v>
      </c>
      <c r="M8" s="62">
        <f>K8/11</f>
        <v>56.272727272727273</v>
      </c>
      <c r="N8" s="45">
        <f>M8-83</f>
        <v>-26.727272727272727</v>
      </c>
      <c r="O8" s="62" t="s">
        <v>12</v>
      </c>
      <c r="P8" s="62" t="s">
        <v>12</v>
      </c>
      <c r="Q8" s="62" t="s">
        <v>12</v>
      </c>
      <c r="R8" s="62" t="s">
        <v>12</v>
      </c>
    </row>
    <row r="9" spans="1:18" ht="15.95" customHeight="1" x14ac:dyDescent="0.25">
      <c r="A9" s="15" t="s">
        <v>13</v>
      </c>
      <c r="B9" s="18" t="s">
        <v>14</v>
      </c>
      <c r="C9" s="45">
        <v>1152</v>
      </c>
      <c r="D9" s="84">
        <v>366</v>
      </c>
      <c r="E9" s="20">
        <f>C9/26</f>
        <v>44.307692307692307</v>
      </c>
      <c r="F9" s="45">
        <f>E9-59</f>
        <v>-14.692307692307693</v>
      </c>
      <c r="G9" s="45">
        <v>168</v>
      </c>
      <c r="H9" s="45">
        <v>90</v>
      </c>
      <c r="I9" s="45">
        <v>168</v>
      </c>
      <c r="J9" s="45">
        <f>I9-299</f>
        <v>-131</v>
      </c>
      <c r="K9" s="45">
        <v>68</v>
      </c>
      <c r="L9" s="45">
        <v>32</v>
      </c>
      <c r="M9" s="62">
        <f>K9/1</f>
        <v>68</v>
      </c>
      <c r="N9" s="62">
        <f>M9-78</f>
        <v>-10</v>
      </c>
      <c r="O9" s="62">
        <v>916</v>
      </c>
      <c r="P9" s="62">
        <v>244</v>
      </c>
      <c r="Q9" s="62">
        <f>O9/24</f>
        <v>38.166666666666664</v>
      </c>
      <c r="R9" s="62">
        <f>Q9-48</f>
        <v>-9.8333333333333357</v>
      </c>
    </row>
    <row r="10" spans="1:18" ht="15.95" customHeight="1" x14ac:dyDescent="0.25">
      <c r="A10" s="15" t="s">
        <v>15</v>
      </c>
      <c r="B10" s="18" t="s">
        <v>16</v>
      </c>
      <c r="C10" s="45">
        <v>1311</v>
      </c>
      <c r="D10" s="81">
        <v>514</v>
      </c>
      <c r="E10" s="45">
        <f>C10/20</f>
        <v>65.55</v>
      </c>
      <c r="F10" s="45">
        <f>E10-78</f>
        <v>-12.450000000000003</v>
      </c>
      <c r="G10" s="45">
        <v>447</v>
      </c>
      <c r="H10" s="45">
        <v>69</v>
      </c>
      <c r="I10" s="45">
        <v>447</v>
      </c>
      <c r="J10" s="45">
        <f>I10-486</f>
        <v>-39</v>
      </c>
      <c r="K10" s="45">
        <v>131</v>
      </c>
      <c r="L10" s="45">
        <v>51</v>
      </c>
      <c r="M10" s="62">
        <f>K10/1</f>
        <v>131</v>
      </c>
      <c r="N10" s="62">
        <f>M10-89</f>
        <v>42</v>
      </c>
      <c r="O10" s="62">
        <v>733</v>
      </c>
      <c r="P10" s="62">
        <v>394</v>
      </c>
      <c r="Q10" s="62">
        <f>O10/18</f>
        <v>40.722222222222221</v>
      </c>
      <c r="R10" s="62">
        <f>Q10-55</f>
        <v>-14.277777777777779</v>
      </c>
    </row>
    <row r="11" spans="1:18" ht="15.95" customHeight="1" x14ac:dyDescent="0.25">
      <c r="A11" s="15" t="s">
        <v>17</v>
      </c>
      <c r="B11" s="18" t="s">
        <v>18</v>
      </c>
      <c r="C11" s="45">
        <v>62</v>
      </c>
      <c r="D11" s="81">
        <v>32</v>
      </c>
      <c r="E11" s="45">
        <f>C11/3</f>
        <v>20.666666666666668</v>
      </c>
      <c r="F11" s="45">
        <f>E11-30</f>
        <v>-9.3333333333333321</v>
      </c>
      <c r="G11" s="45">
        <v>42</v>
      </c>
      <c r="H11" s="45">
        <v>20</v>
      </c>
      <c r="I11" s="45">
        <v>42</v>
      </c>
      <c r="J11" s="45">
        <f>I11-56</f>
        <v>-14</v>
      </c>
      <c r="K11" s="45">
        <v>20</v>
      </c>
      <c r="L11" s="45">
        <v>12</v>
      </c>
      <c r="M11" s="62">
        <f>K11/2</f>
        <v>10</v>
      </c>
      <c r="N11" s="62">
        <f>M11-17</f>
        <v>-7</v>
      </c>
      <c r="O11" s="62" t="s">
        <v>12</v>
      </c>
      <c r="P11" s="62" t="s">
        <v>12</v>
      </c>
      <c r="Q11" s="62" t="s">
        <v>12</v>
      </c>
      <c r="R11" s="62" t="s">
        <v>12</v>
      </c>
    </row>
    <row r="12" spans="1:18" ht="15.95" customHeight="1" x14ac:dyDescent="0.25">
      <c r="A12" s="15" t="s">
        <v>19</v>
      </c>
      <c r="B12" s="18" t="s">
        <v>20</v>
      </c>
      <c r="C12" s="45">
        <v>112</v>
      </c>
      <c r="D12" s="82">
        <v>74</v>
      </c>
      <c r="E12" s="45">
        <f>C12/3</f>
        <v>37.333333333333336</v>
      </c>
      <c r="F12" s="45">
        <f>E12-66</f>
        <v>-28.666666666666664</v>
      </c>
      <c r="G12" s="45">
        <v>112</v>
      </c>
      <c r="H12" s="45">
        <v>74</v>
      </c>
      <c r="I12" s="45">
        <v>112</v>
      </c>
      <c r="J12" s="45">
        <f>I12-198</f>
        <v>-86</v>
      </c>
      <c r="K12" s="45" t="s">
        <v>12</v>
      </c>
      <c r="L12" s="45" t="s">
        <v>12</v>
      </c>
      <c r="M12" s="62" t="s">
        <v>12</v>
      </c>
      <c r="N12" s="62" t="s">
        <v>12</v>
      </c>
      <c r="O12" s="62" t="s">
        <v>12</v>
      </c>
      <c r="P12" s="62" t="s">
        <v>12</v>
      </c>
      <c r="Q12" s="62" t="s">
        <v>12</v>
      </c>
      <c r="R12" s="62" t="s">
        <v>12</v>
      </c>
    </row>
    <row r="13" spans="1:18" ht="15.95" customHeight="1" x14ac:dyDescent="0.25">
      <c r="A13" s="15" t="s">
        <v>21</v>
      </c>
      <c r="B13" s="18" t="s">
        <v>22</v>
      </c>
      <c r="C13" s="45">
        <v>488</v>
      </c>
      <c r="D13" s="81">
        <v>182</v>
      </c>
      <c r="E13" s="45">
        <f>C13/15</f>
        <v>32.533333333333331</v>
      </c>
      <c r="F13" s="45">
        <f>E13-51</f>
        <v>-18.466666666666669</v>
      </c>
      <c r="G13" s="45">
        <v>211</v>
      </c>
      <c r="H13" s="45">
        <v>42</v>
      </c>
      <c r="I13" s="45">
        <v>211</v>
      </c>
      <c r="J13" s="45">
        <f>I13-300</f>
        <v>-89</v>
      </c>
      <c r="K13" s="45">
        <v>27</v>
      </c>
      <c r="L13" s="45">
        <v>3</v>
      </c>
      <c r="M13" s="62">
        <f>K13/1</f>
        <v>27</v>
      </c>
      <c r="N13" s="62">
        <f>M13-32</f>
        <v>-5</v>
      </c>
      <c r="O13" s="62">
        <v>250</v>
      </c>
      <c r="P13" s="62">
        <v>137</v>
      </c>
      <c r="Q13" s="62">
        <f>O13/13</f>
        <v>19.23076923076923</v>
      </c>
      <c r="R13" s="62">
        <f>Q13-33</f>
        <v>-13.76923076923077</v>
      </c>
    </row>
    <row r="14" spans="1:18" ht="15.95" customHeight="1" x14ac:dyDescent="0.25">
      <c r="A14" s="15" t="s">
        <v>23</v>
      </c>
      <c r="B14" s="18" t="s">
        <v>24</v>
      </c>
      <c r="C14" s="45">
        <v>973</v>
      </c>
      <c r="D14" s="81">
        <v>306</v>
      </c>
      <c r="E14" s="20">
        <f>C14/22</f>
        <v>44.227272727272727</v>
      </c>
      <c r="F14" s="45">
        <f>E14-64</f>
        <v>-19.772727272727273</v>
      </c>
      <c r="G14" s="45">
        <v>481</v>
      </c>
      <c r="H14" s="45">
        <v>73</v>
      </c>
      <c r="I14" s="45">
        <v>481</v>
      </c>
      <c r="J14" s="45">
        <f>I14-548</f>
        <v>-67</v>
      </c>
      <c r="K14" s="45" t="s">
        <v>12</v>
      </c>
      <c r="L14" s="45" t="s">
        <v>12</v>
      </c>
      <c r="M14" s="62" t="s">
        <v>12</v>
      </c>
      <c r="N14" s="62" t="s">
        <v>12</v>
      </c>
      <c r="O14" s="62">
        <v>492</v>
      </c>
      <c r="P14" s="62">
        <v>233</v>
      </c>
      <c r="Q14" s="62">
        <f>O14/21</f>
        <v>23.428571428571427</v>
      </c>
      <c r="R14" s="62">
        <f>Q14-41</f>
        <v>-17.571428571428573</v>
      </c>
    </row>
    <row r="15" spans="1:18" ht="15.95" customHeight="1" x14ac:dyDescent="0.25">
      <c r="A15" s="160" t="s">
        <v>31</v>
      </c>
      <c r="B15" s="160"/>
      <c r="C15" s="21">
        <f t="shared" ref="C15:R15" si="0">SUM(C8:C14)</f>
        <v>5225</v>
      </c>
      <c r="D15" s="21">
        <f t="shared" si="0"/>
        <v>1740</v>
      </c>
      <c r="E15" s="21">
        <f t="shared" si="0"/>
        <v>338.53496503496501</v>
      </c>
      <c r="F15" s="21">
        <f t="shared" si="0"/>
        <v>-119.46503496503496</v>
      </c>
      <c r="G15" s="21">
        <f t="shared" si="0"/>
        <v>1969</v>
      </c>
      <c r="H15" s="21">
        <f t="shared" si="0"/>
        <v>450</v>
      </c>
      <c r="I15" s="21">
        <f t="shared" si="0"/>
        <v>1969</v>
      </c>
      <c r="J15" s="21">
        <f t="shared" si="0"/>
        <v>-321</v>
      </c>
      <c r="K15" s="21">
        <f t="shared" si="0"/>
        <v>865</v>
      </c>
      <c r="L15" s="21">
        <f t="shared" si="0"/>
        <v>282</v>
      </c>
      <c r="M15" s="21">
        <f t="shared" si="0"/>
        <v>292.27272727272725</v>
      </c>
      <c r="N15" s="21">
        <f t="shared" si="0"/>
        <v>-6.7272727272727266</v>
      </c>
      <c r="O15" s="21">
        <f t="shared" si="0"/>
        <v>2391</v>
      </c>
      <c r="P15" s="21">
        <f t="shared" si="0"/>
        <v>1008</v>
      </c>
      <c r="Q15" s="21">
        <f t="shared" si="0"/>
        <v>121.54822954822954</v>
      </c>
      <c r="R15" s="21">
        <f t="shared" si="0"/>
        <v>-55.451770451770457</v>
      </c>
    </row>
    <row r="16" spans="1:18" ht="15.95" customHeight="1" x14ac:dyDescent="0.25">
      <c r="A16" s="160" t="s">
        <v>33</v>
      </c>
      <c r="B16" s="160"/>
      <c r="C16" s="21">
        <f t="shared" ref="C16:J16" si="1">C15/7</f>
        <v>746.42857142857144</v>
      </c>
      <c r="D16" s="21">
        <f t="shared" si="1"/>
        <v>248.57142857142858</v>
      </c>
      <c r="E16" s="21">
        <f t="shared" si="1"/>
        <v>48.362137862137857</v>
      </c>
      <c r="F16" s="21">
        <f t="shared" si="1"/>
        <v>-17.066433566433567</v>
      </c>
      <c r="G16" s="21">
        <f t="shared" si="1"/>
        <v>281.28571428571428</v>
      </c>
      <c r="H16" s="21">
        <f t="shared" si="1"/>
        <v>64.285714285714292</v>
      </c>
      <c r="I16" s="21">
        <f t="shared" si="1"/>
        <v>281.28571428571428</v>
      </c>
      <c r="J16" s="21">
        <f t="shared" si="1"/>
        <v>-45.857142857142854</v>
      </c>
      <c r="K16" s="21">
        <f>K15/5</f>
        <v>173</v>
      </c>
      <c r="L16" s="21">
        <f>L15/5</f>
        <v>56.4</v>
      </c>
      <c r="M16" s="21">
        <f>M15/5</f>
        <v>58.454545454545453</v>
      </c>
      <c r="N16" s="21">
        <f>N15/5</f>
        <v>-1.3454545454545452</v>
      </c>
      <c r="O16" s="21">
        <f>O15/4</f>
        <v>597.75</v>
      </c>
      <c r="P16" s="21">
        <f>P15/4</f>
        <v>252</v>
      </c>
      <c r="Q16" s="21">
        <f>Q15/4</f>
        <v>30.387057387057386</v>
      </c>
      <c r="R16" s="21">
        <f>R15/4</f>
        <v>-13.862942612942614</v>
      </c>
    </row>
    <row r="17" spans="1:18" ht="15.95" customHeight="1" x14ac:dyDescent="0.25">
      <c r="A17" s="136" t="s">
        <v>25</v>
      </c>
      <c r="B17" s="137"/>
      <c r="C17" s="137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8"/>
      <c r="R17" s="44"/>
    </row>
    <row r="18" spans="1:18" ht="15.95" customHeight="1" x14ac:dyDescent="0.25">
      <c r="A18" s="15" t="s">
        <v>9</v>
      </c>
      <c r="B18" s="18" t="s">
        <v>26</v>
      </c>
      <c r="C18" s="45">
        <v>1180</v>
      </c>
      <c r="D18" s="81">
        <v>523</v>
      </c>
      <c r="E18" s="45">
        <f>C18/25</f>
        <v>47.2</v>
      </c>
      <c r="F18" s="45">
        <f>E18-50</f>
        <v>-2.7999999999999972</v>
      </c>
      <c r="G18" s="45">
        <v>248</v>
      </c>
      <c r="H18" s="45">
        <v>94</v>
      </c>
      <c r="I18" s="45">
        <v>248</v>
      </c>
      <c r="J18" s="45">
        <f>I18-249</f>
        <v>-1</v>
      </c>
      <c r="K18" s="45">
        <v>32</v>
      </c>
      <c r="L18" s="45">
        <v>19</v>
      </c>
      <c r="M18" s="62">
        <f>K18/1</f>
        <v>32</v>
      </c>
      <c r="N18" s="62">
        <f>M18-38</f>
        <v>-6</v>
      </c>
      <c r="O18" s="62">
        <v>900</v>
      </c>
      <c r="P18" s="62">
        <v>410</v>
      </c>
      <c r="Q18" s="62">
        <f>O18/23</f>
        <v>39.130434782608695</v>
      </c>
      <c r="R18" s="62">
        <f>Q18-44</f>
        <v>-4.8695652173913047</v>
      </c>
    </row>
    <row r="19" spans="1:18" ht="15.95" customHeight="1" x14ac:dyDescent="0.25">
      <c r="A19" s="15" t="s">
        <v>13</v>
      </c>
      <c r="B19" s="18" t="s">
        <v>27</v>
      </c>
      <c r="C19" s="45">
        <v>265</v>
      </c>
      <c r="D19" s="81">
        <v>31</v>
      </c>
      <c r="E19" s="20">
        <f>C19/9</f>
        <v>29.444444444444443</v>
      </c>
      <c r="F19" s="45">
        <f>E19-56</f>
        <v>-26.555555555555557</v>
      </c>
      <c r="G19" s="45">
        <v>65</v>
      </c>
      <c r="H19" s="45">
        <v>15</v>
      </c>
      <c r="I19" s="45">
        <v>65</v>
      </c>
      <c r="J19" s="45">
        <f>I19-130</f>
        <v>-65</v>
      </c>
      <c r="K19" s="45" t="s">
        <v>12</v>
      </c>
      <c r="L19" s="45" t="s">
        <v>12</v>
      </c>
      <c r="M19" s="62" t="s">
        <v>12</v>
      </c>
      <c r="N19" s="62" t="s">
        <v>12</v>
      </c>
      <c r="O19" s="62">
        <v>200</v>
      </c>
      <c r="P19" s="62">
        <v>16</v>
      </c>
      <c r="Q19" s="62">
        <f>O19/8</f>
        <v>25</v>
      </c>
      <c r="R19" s="62">
        <f>Q19-47</f>
        <v>-22</v>
      </c>
    </row>
    <row r="20" spans="1:18" ht="15.95" customHeight="1" x14ac:dyDescent="0.25">
      <c r="A20" s="15" t="s">
        <v>15</v>
      </c>
      <c r="B20" s="18" t="s">
        <v>28</v>
      </c>
      <c r="C20" s="45">
        <v>551</v>
      </c>
      <c r="D20" s="81">
        <v>366</v>
      </c>
      <c r="E20" s="45">
        <f>C20/24</f>
        <v>22.958333333333332</v>
      </c>
      <c r="F20" s="45">
        <f>E20-25</f>
        <v>-2.0416666666666679</v>
      </c>
      <c r="G20" s="45">
        <v>118</v>
      </c>
      <c r="H20" s="45">
        <v>41</v>
      </c>
      <c r="I20" s="45">
        <v>118</v>
      </c>
      <c r="J20" s="45">
        <f>I20-121</f>
        <v>-3</v>
      </c>
      <c r="K20" s="45" t="s">
        <v>12</v>
      </c>
      <c r="L20" s="45" t="s">
        <v>12</v>
      </c>
      <c r="M20" s="62" t="s">
        <v>12</v>
      </c>
      <c r="N20" s="62" t="s">
        <v>12</v>
      </c>
      <c r="O20" s="62">
        <v>433</v>
      </c>
      <c r="P20" s="62">
        <v>325</v>
      </c>
      <c r="Q20" s="62">
        <f>O20/23</f>
        <v>18.826086956521738</v>
      </c>
      <c r="R20" s="62">
        <f>Q20-21</f>
        <v>-2.1739130434782616</v>
      </c>
    </row>
    <row r="21" spans="1:18" ht="15.95" customHeight="1" x14ac:dyDescent="0.25">
      <c r="A21" s="15" t="s">
        <v>17</v>
      </c>
      <c r="B21" s="18" t="s">
        <v>29</v>
      </c>
      <c r="C21" s="45">
        <v>849</v>
      </c>
      <c r="D21" s="81">
        <v>332</v>
      </c>
      <c r="E21" s="20">
        <f>C21/29</f>
        <v>29.275862068965516</v>
      </c>
      <c r="F21" s="45">
        <f>E21-41</f>
        <v>-11.724137931034484</v>
      </c>
      <c r="G21" s="45">
        <v>204</v>
      </c>
      <c r="H21" s="45">
        <v>62</v>
      </c>
      <c r="I21" s="45">
        <v>204</v>
      </c>
      <c r="J21" s="45">
        <f>I21-240</f>
        <v>-36</v>
      </c>
      <c r="K21" s="45">
        <v>106</v>
      </c>
      <c r="L21" s="45">
        <v>65</v>
      </c>
      <c r="M21" s="62">
        <f>K21/2</f>
        <v>53</v>
      </c>
      <c r="N21" s="62">
        <f>M21-60</f>
        <v>-7</v>
      </c>
      <c r="O21" s="62">
        <v>539</v>
      </c>
      <c r="P21" s="62">
        <v>205</v>
      </c>
      <c r="Q21" s="62">
        <f>O21/24</f>
        <v>22.458333333333332</v>
      </c>
      <c r="R21" s="62">
        <f>Q21-32</f>
        <v>-9.5416666666666679</v>
      </c>
    </row>
    <row r="22" spans="1:18" ht="15.95" customHeight="1" x14ac:dyDescent="0.25">
      <c r="A22" s="160" t="s">
        <v>31</v>
      </c>
      <c r="B22" s="160"/>
      <c r="C22" s="21">
        <f t="shared" ref="C22:R22" si="2">SUM(C18:C21)</f>
        <v>2845</v>
      </c>
      <c r="D22" s="21">
        <f t="shared" si="2"/>
        <v>1252</v>
      </c>
      <c r="E22" s="21">
        <f t="shared" si="2"/>
        <v>128.87863984674328</v>
      </c>
      <c r="F22" s="21">
        <f t="shared" si="2"/>
        <v>-43.121360153256703</v>
      </c>
      <c r="G22" s="21">
        <f t="shared" si="2"/>
        <v>635</v>
      </c>
      <c r="H22" s="21">
        <f t="shared" si="2"/>
        <v>212</v>
      </c>
      <c r="I22" s="21">
        <f t="shared" si="2"/>
        <v>635</v>
      </c>
      <c r="J22" s="21">
        <f t="shared" si="2"/>
        <v>-105</v>
      </c>
      <c r="K22" s="21">
        <f t="shared" si="2"/>
        <v>138</v>
      </c>
      <c r="L22" s="21">
        <f t="shared" si="2"/>
        <v>84</v>
      </c>
      <c r="M22" s="21">
        <f t="shared" si="2"/>
        <v>85</v>
      </c>
      <c r="N22" s="21">
        <f t="shared" si="2"/>
        <v>-13</v>
      </c>
      <c r="O22" s="21">
        <f t="shared" si="2"/>
        <v>2072</v>
      </c>
      <c r="P22" s="21">
        <f t="shared" si="2"/>
        <v>956</v>
      </c>
      <c r="Q22" s="21">
        <f t="shared" si="2"/>
        <v>105.41485507246375</v>
      </c>
      <c r="R22" s="21">
        <f t="shared" si="2"/>
        <v>-38.585144927536234</v>
      </c>
    </row>
    <row r="23" spans="1:18" ht="15.95" customHeight="1" x14ac:dyDescent="0.25">
      <c r="A23" s="160" t="s">
        <v>33</v>
      </c>
      <c r="B23" s="160"/>
      <c r="C23" s="21">
        <f t="shared" ref="C23:J23" si="3">C22/4</f>
        <v>711.25</v>
      </c>
      <c r="D23" s="21">
        <f t="shared" si="3"/>
        <v>313</v>
      </c>
      <c r="E23" s="21">
        <f t="shared" si="3"/>
        <v>32.219659961685821</v>
      </c>
      <c r="F23" s="21">
        <f t="shared" si="3"/>
        <v>-10.780340038314176</v>
      </c>
      <c r="G23" s="21">
        <f t="shared" si="3"/>
        <v>158.75</v>
      </c>
      <c r="H23" s="21">
        <f t="shared" si="3"/>
        <v>53</v>
      </c>
      <c r="I23" s="21">
        <f t="shared" si="3"/>
        <v>158.75</v>
      </c>
      <c r="J23" s="21">
        <f t="shared" si="3"/>
        <v>-26.25</v>
      </c>
      <c r="K23" s="21">
        <f>K22/2</f>
        <v>69</v>
      </c>
      <c r="L23" s="21">
        <f>L22/2</f>
        <v>42</v>
      </c>
      <c r="M23" s="21">
        <f>M22/2</f>
        <v>42.5</v>
      </c>
      <c r="N23" s="21">
        <f>N22/2</f>
        <v>-6.5</v>
      </c>
      <c r="O23" s="21">
        <f>O22/4</f>
        <v>518</v>
      </c>
      <c r="P23" s="21">
        <f>P22/4</f>
        <v>239</v>
      </c>
      <c r="Q23" s="21">
        <f>Q22/4</f>
        <v>26.353713768115938</v>
      </c>
      <c r="R23" s="21">
        <f>R22/4</f>
        <v>-9.6462862318840585</v>
      </c>
    </row>
    <row r="24" spans="1:18" ht="30" customHeight="1" x14ac:dyDescent="0.25">
      <c r="A24" s="161" t="s">
        <v>30</v>
      </c>
      <c r="B24" s="161"/>
      <c r="C24" s="51">
        <f t="shared" ref="C24:R24" si="4">SUM(C15,C22)</f>
        <v>8070</v>
      </c>
      <c r="D24" s="51">
        <f t="shared" si="4"/>
        <v>2992</v>
      </c>
      <c r="E24" s="51">
        <f t="shared" si="4"/>
        <v>467.4136048817083</v>
      </c>
      <c r="F24" s="51">
        <f t="shared" si="4"/>
        <v>-162.58639511829165</v>
      </c>
      <c r="G24" s="51">
        <f t="shared" si="4"/>
        <v>2604</v>
      </c>
      <c r="H24" s="51">
        <f t="shared" si="4"/>
        <v>662</v>
      </c>
      <c r="I24" s="51">
        <f t="shared" si="4"/>
        <v>2604</v>
      </c>
      <c r="J24" s="51">
        <f t="shared" si="4"/>
        <v>-426</v>
      </c>
      <c r="K24" s="51">
        <f t="shared" si="4"/>
        <v>1003</v>
      </c>
      <c r="L24" s="51">
        <f t="shared" si="4"/>
        <v>366</v>
      </c>
      <c r="M24" s="51">
        <f t="shared" si="4"/>
        <v>377.27272727272725</v>
      </c>
      <c r="N24" s="51">
        <f t="shared" si="4"/>
        <v>-19.727272727272727</v>
      </c>
      <c r="O24" s="51">
        <f t="shared" si="4"/>
        <v>4463</v>
      </c>
      <c r="P24" s="51">
        <f t="shared" si="4"/>
        <v>1964</v>
      </c>
      <c r="Q24" s="51">
        <f t="shared" si="4"/>
        <v>226.96308462069328</v>
      </c>
      <c r="R24" s="51">
        <f t="shared" si="4"/>
        <v>-94.036915379306691</v>
      </c>
    </row>
    <row r="25" spans="1:18" ht="30" customHeight="1" x14ac:dyDescent="0.25">
      <c r="A25" s="161" t="s">
        <v>32</v>
      </c>
      <c r="B25" s="161"/>
      <c r="C25" s="51">
        <f t="shared" ref="C25:J25" si="5">C24/11</f>
        <v>733.63636363636363</v>
      </c>
      <c r="D25" s="51">
        <f t="shared" si="5"/>
        <v>272</v>
      </c>
      <c r="E25" s="51">
        <f t="shared" si="5"/>
        <v>42.492145898337121</v>
      </c>
      <c r="F25" s="51">
        <f t="shared" si="5"/>
        <v>-14.780581374390151</v>
      </c>
      <c r="G25" s="51">
        <f t="shared" si="5"/>
        <v>236.72727272727272</v>
      </c>
      <c r="H25" s="51">
        <f t="shared" si="5"/>
        <v>60.18181818181818</v>
      </c>
      <c r="I25" s="51">
        <f t="shared" si="5"/>
        <v>236.72727272727272</v>
      </c>
      <c r="J25" s="51">
        <f t="shared" si="5"/>
        <v>-38.727272727272727</v>
      </c>
      <c r="K25" s="51">
        <f>K24/7</f>
        <v>143.28571428571428</v>
      </c>
      <c r="L25" s="51">
        <f>L24/7</f>
        <v>52.285714285714285</v>
      </c>
      <c r="M25" s="51">
        <f>M24/7</f>
        <v>53.896103896103895</v>
      </c>
      <c r="N25" s="51">
        <f>N24/7</f>
        <v>-2.8181818181818179</v>
      </c>
      <c r="O25" s="51">
        <f>O24/8</f>
        <v>557.875</v>
      </c>
      <c r="P25" s="51">
        <f>P24/8</f>
        <v>245.5</v>
      </c>
      <c r="Q25" s="51">
        <f>Q24/8</f>
        <v>28.37038557758666</v>
      </c>
      <c r="R25" s="51">
        <f>R24/8</f>
        <v>-11.754614422413336</v>
      </c>
    </row>
  </sheetData>
  <mergeCells count="31">
    <mergeCell ref="C4:F4"/>
    <mergeCell ref="G4:J4"/>
    <mergeCell ref="K4:N4"/>
    <mergeCell ref="O4:R4"/>
    <mergeCell ref="J5:J6"/>
    <mergeCell ref="N5:N6"/>
    <mergeCell ref="R5:R6"/>
    <mergeCell ref="A2:R2"/>
    <mergeCell ref="D5:D6"/>
    <mergeCell ref="H5:H6"/>
    <mergeCell ref="L5:L6"/>
    <mergeCell ref="P5:P6"/>
    <mergeCell ref="M5:M6"/>
    <mergeCell ref="O5:O6"/>
    <mergeCell ref="Q5:Q6"/>
    <mergeCell ref="G5:G6"/>
    <mergeCell ref="I5:I6"/>
    <mergeCell ref="K5:K6"/>
    <mergeCell ref="A4:A6"/>
    <mergeCell ref="B4:B6"/>
    <mergeCell ref="C5:C6"/>
    <mergeCell ref="E5:E6"/>
    <mergeCell ref="F5:F6"/>
    <mergeCell ref="A24:B24"/>
    <mergeCell ref="A25:B25"/>
    <mergeCell ref="A7:Q7"/>
    <mergeCell ref="A15:B15"/>
    <mergeCell ref="A16:B16"/>
    <mergeCell ref="A17:Q17"/>
    <mergeCell ref="A22:B22"/>
    <mergeCell ref="A23:B23"/>
  </mergeCells>
  <pageMargins left="0.7" right="0.7" top="0.75" bottom="0.75" header="0.3" footer="0.3"/>
  <pageSetup paperSize="9" orientation="portrait" r:id="rId1"/>
  <ignoredErrors>
    <ignoredError sqref="Q19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R24"/>
  <sheetViews>
    <sheetView workbookViewId="0">
      <selection activeCell="V11" sqref="V11"/>
    </sheetView>
  </sheetViews>
  <sheetFormatPr defaultRowHeight="15" x14ac:dyDescent="0.25"/>
  <cols>
    <col min="1" max="1" width="5.7109375" customWidth="1"/>
    <col min="2" max="2" width="27.140625" customWidth="1"/>
    <col min="3" max="3" width="12.140625" customWidth="1"/>
    <col min="4" max="4" width="8" customWidth="1"/>
    <col min="5" max="5" width="9" customWidth="1"/>
    <col min="6" max="6" width="8.42578125" customWidth="1"/>
    <col min="7" max="7" width="12.42578125" customWidth="1"/>
    <col min="8" max="8" width="8.7109375" customWidth="1"/>
    <col min="9" max="9" width="7.28515625" customWidth="1"/>
    <col min="10" max="10" width="8.28515625" customWidth="1"/>
    <col min="11" max="11" width="12.140625" customWidth="1"/>
    <col min="12" max="12" width="10.5703125" customWidth="1"/>
    <col min="13" max="13" width="7.5703125" customWidth="1"/>
    <col min="14" max="14" width="7.28515625" customWidth="1"/>
    <col min="15" max="15" width="12" customWidth="1"/>
    <col min="16" max="16" width="9.140625" customWidth="1"/>
    <col min="17" max="17" width="7.85546875" customWidth="1"/>
    <col min="18" max="18" width="7.7109375" customWidth="1"/>
  </cols>
  <sheetData>
    <row r="2" spans="1:18" ht="15.75" x14ac:dyDescent="0.25">
      <c r="A2" s="139" t="s">
        <v>103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</row>
    <row r="3" spans="1:18" ht="15.75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</row>
    <row r="4" spans="1:18" ht="15.95" customHeight="1" x14ac:dyDescent="0.25">
      <c r="A4" s="113" t="s">
        <v>0</v>
      </c>
      <c r="B4" s="113" t="s">
        <v>1</v>
      </c>
      <c r="C4" s="126" t="s">
        <v>65</v>
      </c>
      <c r="D4" s="140"/>
      <c r="E4" s="140"/>
      <c r="F4" s="127"/>
      <c r="G4" s="126" t="s">
        <v>68</v>
      </c>
      <c r="H4" s="140"/>
      <c r="I4" s="140"/>
      <c r="J4" s="127"/>
      <c r="K4" s="126" t="s">
        <v>66</v>
      </c>
      <c r="L4" s="140"/>
      <c r="M4" s="140"/>
      <c r="N4" s="127"/>
      <c r="O4" s="126" t="s">
        <v>67</v>
      </c>
      <c r="P4" s="140"/>
      <c r="Q4" s="140"/>
      <c r="R4" s="127"/>
    </row>
    <row r="5" spans="1:18" ht="31.5" customHeight="1" x14ac:dyDescent="0.25">
      <c r="A5" s="113"/>
      <c r="B5" s="113"/>
      <c r="C5" s="22" t="s">
        <v>50</v>
      </c>
      <c r="D5" s="22" t="s">
        <v>4</v>
      </c>
      <c r="E5" s="22" t="s">
        <v>47</v>
      </c>
      <c r="F5" s="22" t="s">
        <v>48</v>
      </c>
      <c r="G5" s="22" t="s">
        <v>50</v>
      </c>
      <c r="H5" s="22" t="s">
        <v>4</v>
      </c>
      <c r="I5" s="22" t="s">
        <v>47</v>
      </c>
      <c r="J5" s="22" t="s">
        <v>48</v>
      </c>
      <c r="K5" s="22" t="s">
        <v>50</v>
      </c>
      <c r="L5" s="22" t="s">
        <v>4</v>
      </c>
      <c r="M5" s="22" t="s">
        <v>47</v>
      </c>
      <c r="N5" s="22" t="s">
        <v>48</v>
      </c>
      <c r="O5" s="22" t="s">
        <v>50</v>
      </c>
      <c r="P5" s="22" t="s">
        <v>4</v>
      </c>
      <c r="Q5" s="22" t="s">
        <v>47</v>
      </c>
      <c r="R5" s="22" t="s">
        <v>48</v>
      </c>
    </row>
    <row r="6" spans="1:18" ht="15.95" customHeight="1" x14ac:dyDescent="0.25">
      <c r="A6" s="136" t="s">
        <v>8</v>
      </c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8"/>
    </row>
    <row r="7" spans="1:18" ht="15.95" customHeight="1" x14ac:dyDescent="0.25">
      <c r="A7" s="15" t="s">
        <v>9</v>
      </c>
      <c r="B7" s="18" t="s">
        <v>10</v>
      </c>
      <c r="C7" s="45">
        <v>10575</v>
      </c>
      <c r="D7" s="45">
        <v>3822</v>
      </c>
      <c r="E7" s="45">
        <f>6539+214</f>
        <v>6753</v>
      </c>
      <c r="F7" s="45" t="s">
        <v>12</v>
      </c>
      <c r="G7" s="79">
        <v>10594</v>
      </c>
      <c r="H7" s="79">
        <v>10594</v>
      </c>
      <c r="I7" s="79">
        <v>0</v>
      </c>
      <c r="J7" s="79" t="s">
        <v>12</v>
      </c>
      <c r="K7" s="79">
        <v>45947</v>
      </c>
      <c r="L7" s="79">
        <v>45947</v>
      </c>
      <c r="M7" s="79">
        <v>0</v>
      </c>
      <c r="N7" s="79" t="s">
        <v>12</v>
      </c>
      <c r="O7" s="79">
        <v>115964</v>
      </c>
      <c r="P7" s="79">
        <v>113088</v>
      </c>
      <c r="Q7" s="79">
        <v>2876</v>
      </c>
      <c r="R7" s="79" t="s">
        <v>12</v>
      </c>
    </row>
    <row r="8" spans="1:18" ht="15.95" customHeight="1" x14ac:dyDescent="0.25">
      <c r="A8" s="15" t="s">
        <v>13</v>
      </c>
      <c r="B8" s="18" t="s">
        <v>14</v>
      </c>
      <c r="C8" s="45">
        <v>8058</v>
      </c>
      <c r="D8" s="45">
        <v>2261</v>
      </c>
      <c r="E8" s="45">
        <v>1030</v>
      </c>
      <c r="F8" s="45">
        <v>4767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29275</v>
      </c>
      <c r="P8" s="79">
        <v>17800</v>
      </c>
      <c r="Q8" s="79">
        <v>332</v>
      </c>
      <c r="R8" s="79">
        <v>11143</v>
      </c>
    </row>
    <row r="9" spans="1:18" ht="15.95" customHeight="1" x14ac:dyDescent="0.25">
      <c r="A9" s="15" t="s">
        <v>15</v>
      </c>
      <c r="B9" s="18" t="s">
        <v>16</v>
      </c>
      <c r="C9" s="45">
        <v>89858</v>
      </c>
      <c r="D9" s="45">
        <v>81912</v>
      </c>
      <c r="E9" s="45">
        <v>1176</v>
      </c>
      <c r="F9" s="45">
        <v>6770</v>
      </c>
      <c r="G9" s="79">
        <v>19714</v>
      </c>
      <c r="H9" s="79">
        <v>19714</v>
      </c>
      <c r="I9" s="79">
        <v>0</v>
      </c>
      <c r="J9" s="79">
        <v>0</v>
      </c>
      <c r="K9" s="79">
        <v>19621</v>
      </c>
      <c r="L9" s="79">
        <v>19621</v>
      </c>
      <c r="M9" s="79">
        <v>0</v>
      </c>
      <c r="N9" s="79">
        <v>0</v>
      </c>
      <c r="O9" s="79">
        <v>89684</v>
      </c>
      <c r="P9" s="79">
        <v>84309</v>
      </c>
      <c r="Q9" s="79">
        <v>0</v>
      </c>
      <c r="R9" s="79">
        <v>5375</v>
      </c>
    </row>
    <row r="10" spans="1:18" ht="15.95" customHeight="1" x14ac:dyDescent="0.25">
      <c r="A10" s="15" t="s">
        <v>17</v>
      </c>
      <c r="B10" s="18" t="s">
        <v>18</v>
      </c>
      <c r="C10" s="45">
        <v>1510</v>
      </c>
      <c r="D10" s="45">
        <v>1510</v>
      </c>
      <c r="E10" s="45">
        <v>0</v>
      </c>
      <c r="F10" s="45" t="s">
        <v>12</v>
      </c>
      <c r="G10" s="79">
        <v>0</v>
      </c>
      <c r="H10" s="79">
        <v>0</v>
      </c>
      <c r="I10" s="79">
        <v>0</v>
      </c>
      <c r="J10" s="79" t="s">
        <v>12</v>
      </c>
      <c r="K10" s="79">
        <v>0</v>
      </c>
      <c r="L10" s="79">
        <v>0</v>
      </c>
      <c r="M10" s="79">
        <v>0</v>
      </c>
      <c r="N10" s="79" t="s">
        <v>12</v>
      </c>
      <c r="O10" s="79">
        <v>4850</v>
      </c>
      <c r="P10" s="79">
        <v>4850</v>
      </c>
      <c r="Q10" s="79">
        <v>0</v>
      </c>
      <c r="R10" s="79" t="s">
        <v>12</v>
      </c>
    </row>
    <row r="11" spans="1:18" ht="15.95" customHeight="1" x14ac:dyDescent="0.25">
      <c r="A11" s="15" t="s">
        <v>19</v>
      </c>
      <c r="B11" s="18" t="s">
        <v>20</v>
      </c>
      <c r="C11" s="45">
        <v>13754</v>
      </c>
      <c r="D11" s="45">
        <v>13754</v>
      </c>
      <c r="E11" s="45" t="s">
        <v>12</v>
      </c>
      <c r="F11" s="45" t="s">
        <v>12</v>
      </c>
      <c r="G11" s="79">
        <v>764</v>
      </c>
      <c r="H11" s="79">
        <v>764</v>
      </c>
      <c r="I11" s="79" t="s">
        <v>12</v>
      </c>
      <c r="J11" s="79" t="s">
        <v>12</v>
      </c>
      <c r="K11" s="79">
        <v>3309</v>
      </c>
      <c r="L11" s="79">
        <v>3309</v>
      </c>
      <c r="M11" s="79" t="s">
        <v>12</v>
      </c>
      <c r="N11" s="79" t="s">
        <v>12</v>
      </c>
      <c r="O11" s="79">
        <v>12644</v>
      </c>
      <c r="P11" s="79">
        <v>12644</v>
      </c>
      <c r="Q11" s="79" t="s">
        <v>12</v>
      </c>
      <c r="R11" s="79" t="s">
        <v>12</v>
      </c>
    </row>
    <row r="12" spans="1:18" ht="15.95" customHeight="1" x14ac:dyDescent="0.25">
      <c r="A12" s="15" t="s">
        <v>21</v>
      </c>
      <c r="B12" s="18" t="s">
        <v>22</v>
      </c>
      <c r="C12" s="45">
        <v>24341</v>
      </c>
      <c r="D12" s="45">
        <v>9146</v>
      </c>
      <c r="E12" s="45">
        <v>2678</v>
      </c>
      <c r="F12" s="45">
        <v>12517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</row>
    <row r="13" spans="1:18" ht="15.95" customHeight="1" x14ac:dyDescent="0.25">
      <c r="A13" s="15" t="s">
        <v>23</v>
      </c>
      <c r="B13" s="18" t="s">
        <v>24</v>
      </c>
      <c r="C13" s="45">
        <v>60150</v>
      </c>
      <c r="D13" s="45">
        <v>45431</v>
      </c>
      <c r="E13" s="45" t="s">
        <v>12</v>
      </c>
      <c r="F13" s="45">
        <v>14719</v>
      </c>
      <c r="G13" s="79">
        <v>1257</v>
      </c>
      <c r="H13" s="79">
        <v>1257</v>
      </c>
      <c r="I13" s="79" t="s">
        <v>12</v>
      </c>
      <c r="J13" s="79">
        <v>0</v>
      </c>
      <c r="K13" s="79">
        <v>11010</v>
      </c>
      <c r="L13" s="79">
        <v>11010</v>
      </c>
      <c r="M13" s="79">
        <v>0</v>
      </c>
      <c r="N13" s="79">
        <v>0</v>
      </c>
      <c r="O13" s="79">
        <v>87355</v>
      </c>
      <c r="P13" s="79">
        <v>87185</v>
      </c>
      <c r="Q13" s="79">
        <v>0</v>
      </c>
      <c r="R13" s="79">
        <v>170</v>
      </c>
    </row>
    <row r="14" spans="1:18" ht="15.95" customHeight="1" x14ac:dyDescent="0.25">
      <c r="A14" s="160" t="s">
        <v>31</v>
      </c>
      <c r="B14" s="160"/>
      <c r="C14" s="21">
        <f t="shared" ref="C14:H14" si="0">SUM(C7:C13)</f>
        <v>208246</v>
      </c>
      <c r="D14" s="21">
        <f t="shared" si="0"/>
        <v>157836</v>
      </c>
      <c r="E14" s="21">
        <f t="shared" si="0"/>
        <v>11637</v>
      </c>
      <c r="F14" s="21">
        <f t="shared" si="0"/>
        <v>38773</v>
      </c>
      <c r="G14" s="54">
        <f t="shared" si="0"/>
        <v>32329</v>
      </c>
      <c r="H14" s="54">
        <f t="shared" si="0"/>
        <v>32329</v>
      </c>
      <c r="I14" s="54">
        <v>0</v>
      </c>
      <c r="J14" s="54">
        <v>0</v>
      </c>
      <c r="K14" s="54">
        <f>SUM(K7:K13)</f>
        <v>79887</v>
      </c>
      <c r="L14" s="54">
        <f>SUM(L7:L13)</f>
        <v>79887</v>
      </c>
      <c r="M14" s="54">
        <v>0</v>
      </c>
      <c r="N14" s="54">
        <v>0</v>
      </c>
      <c r="O14" s="54">
        <f>SUM(O7:O13)</f>
        <v>339772</v>
      </c>
      <c r="P14" s="54">
        <f>SUM(P7:P13)</f>
        <v>319876</v>
      </c>
      <c r="Q14" s="54">
        <f>SUM(Q7:Q13)</f>
        <v>3208</v>
      </c>
      <c r="R14" s="54">
        <f>SUM(R8:R13)</f>
        <v>16688</v>
      </c>
    </row>
    <row r="15" spans="1:18" ht="15.95" customHeight="1" x14ac:dyDescent="0.25">
      <c r="A15" s="160" t="s">
        <v>33</v>
      </c>
      <c r="B15" s="160"/>
      <c r="C15" s="21">
        <f>C14/7</f>
        <v>29749.428571428572</v>
      </c>
      <c r="D15" s="21">
        <f>D14/7</f>
        <v>22548</v>
      </c>
      <c r="E15" s="21">
        <f>E14/5</f>
        <v>2327.4</v>
      </c>
      <c r="F15" s="21">
        <f>F14/4</f>
        <v>9693.25</v>
      </c>
      <c r="G15" s="21">
        <f>G14/7</f>
        <v>4618.4285714285716</v>
      </c>
      <c r="H15" s="21">
        <f>H14/7</f>
        <v>4618.4285714285716</v>
      </c>
      <c r="I15" s="21">
        <v>0</v>
      </c>
      <c r="J15" s="21">
        <v>0</v>
      </c>
      <c r="K15" s="21">
        <f>K14/7</f>
        <v>11412.428571428571</v>
      </c>
      <c r="L15" s="21">
        <f>L14/7</f>
        <v>11412.428571428571</v>
      </c>
      <c r="M15" s="21">
        <v>0</v>
      </c>
      <c r="N15" s="21">
        <v>0</v>
      </c>
      <c r="O15" s="21">
        <f>O14/7</f>
        <v>48538.857142857145</v>
      </c>
      <c r="P15" s="21">
        <f>P14/7</f>
        <v>45696.571428571428</v>
      </c>
      <c r="Q15" s="21">
        <v>0</v>
      </c>
      <c r="R15" s="21">
        <f>R14/4</f>
        <v>4172</v>
      </c>
    </row>
    <row r="16" spans="1:18" ht="15.95" customHeight="1" x14ac:dyDescent="0.25">
      <c r="A16" s="136" t="s">
        <v>25</v>
      </c>
      <c r="B16" s="137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8"/>
    </row>
    <row r="17" spans="1:18" ht="15.95" customHeight="1" x14ac:dyDescent="0.25">
      <c r="A17" s="15" t="s">
        <v>9</v>
      </c>
      <c r="B17" s="18" t="s">
        <v>26</v>
      </c>
      <c r="C17" s="45">
        <v>7114</v>
      </c>
      <c r="D17" s="45">
        <v>2867</v>
      </c>
      <c r="E17" s="45">
        <v>658</v>
      </c>
      <c r="F17" s="45">
        <v>3589</v>
      </c>
      <c r="G17" s="79">
        <v>857642</v>
      </c>
      <c r="H17" s="79">
        <v>857642</v>
      </c>
      <c r="I17" s="79">
        <v>0</v>
      </c>
      <c r="J17" s="79">
        <v>0</v>
      </c>
      <c r="K17" s="45">
        <v>0</v>
      </c>
      <c r="L17" s="45">
        <v>0</v>
      </c>
      <c r="M17" s="45">
        <v>0</v>
      </c>
      <c r="N17" s="45">
        <v>0</v>
      </c>
      <c r="O17" s="79">
        <v>228842</v>
      </c>
      <c r="P17" s="79">
        <v>164879</v>
      </c>
      <c r="Q17" s="79">
        <v>0</v>
      </c>
      <c r="R17" s="79">
        <v>63963</v>
      </c>
    </row>
    <row r="18" spans="1:18" ht="15.95" customHeight="1" x14ac:dyDescent="0.25">
      <c r="A18" s="15" t="s">
        <v>13</v>
      </c>
      <c r="B18" s="18" t="s">
        <v>27</v>
      </c>
      <c r="C18" s="45">
        <v>5334</v>
      </c>
      <c r="D18" s="45">
        <v>2757</v>
      </c>
      <c r="E18" s="45" t="s">
        <v>12</v>
      </c>
      <c r="F18" s="45">
        <v>2577</v>
      </c>
      <c r="G18" s="79">
        <v>0</v>
      </c>
      <c r="H18" s="79">
        <v>0</v>
      </c>
      <c r="I18" s="79" t="s">
        <v>12</v>
      </c>
      <c r="J18" s="79">
        <v>0</v>
      </c>
      <c r="K18" s="45">
        <v>0</v>
      </c>
      <c r="L18" s="45">
        <v>0</v>
      </c>
      <c r="M18" s="45" t="s">
        <v>12</v>
      </c>
      <c r="N18" s="45">
        <v>0</v>
      </c>
      <c r="O18" s="79">
        <v>24931</v>
      </c>
      <c r="P18" s="79">
        <v>22121</v>
      </c>
      <c r="Q18" s="79" t="s">
        <v>12</v>
      </c>
      <c r="R18" s="79">
        <v>2810</v>
      </c>
    </row>
    <row r="19" spans="1:18" ht="15.95" customHeight="1" x14ac:dyDescent="0.25">
      <c r="A19" s="15" t="s">
        <v>15</v>
      </c>
      <c r="B19" s="18" t="s">
        <v>28</v>
      </c>
      <c r="C19" s="45">
        <v>214566</v>
      </c>
      <c r="D19" s="45">
        <v>214566</v>
      </c>
      <c r="E19" s="45" t="s">
        <v>12</v>
      </c>
      <c r="F19" s="45">
        <v>0</v>
      </c>
      <c r="G19" s="79">
        <v>1224165</v>
      </c>
      <c r="H19" s="79">
        <v>1224165</v>
      </c>
      <c r="I19" s="79" t="s">
        <v>12</v>
      </c>
      <c r="J19" s="79">
        <v>0</v>
      </c>
      <c r="K19" s="45">
        <v>1464061</v>
      </c>
      <c r="L19" s="45">
        <v>1464061</v>
      </c>
      <c r="M19" s="45" t="s">
        <v>12</v>
      </c>
      <c r="N19" s="45">
        <v>0</v>
      </c>
      <c r="O19" s="79">
        <v>1720712</v>
      </c>
      <c r="P19" s="79">
        <v>1720712</v>
      </c>
      <c r="Q19" s="79" t="s">
        <v>12</v>
      </c>
      <c r="R19" s="79">
        <v>0</v>
      </c>
    </row>
    <row r="20" spans="1:18" ht="15.95" customHeight="1" x14ac:dyDescent="0.25">
      <c r="A20" s="15" t="s">
        <v>17</v>
      </c>
      <c r="B20" s="18" t="s">
        <v>29</v>
      </c>
      <c r="C20" s="45">
        <v>34336</v>
      </c>
      <c r="D20" s="45">
        <v>24011</v>
      </c>
      <c r="E20" s="45">
        <v>1521</v>
      </c>
      <c r="F20" s="45">
        <v>8804</v>
      </c>
      <c r="G20" s="79">
        <v>1248</v>
      </c>
      <c r="H20" s="79">
        <v>1248</v>
      </c>
      <c r="I20" s="79">
        <v>0</v>
      </c>
      <c r="J20" s="79">
        <v>0</v>
      </c>
      <c r="K20" s="45">
        <v>20327</v>
      </c>
      <c r="L20" s="45">
        <v>20327</v>
      </c>
      <c r="M20" s="45">
        <v>0</v>
      </c>
      <c r="N20" s="45">
        <v>0</v>
      </c>
      <c r="O20" s="79">
        <v>9095</v>
      </c>
      <c r="P20" s="79">
        <v>8995</v>
      </c>
      <c r="Q20" s="79">
        <v>0</v>
      </c>
      <c r="R20" s="79">
        <v>100</v>
      </c>
    </row>
    <row r="21" spans="1:18" ht="15.95" customHeight="1" x14ac:dyDescent="0.25">
      <c r="A21" s="160" t="s">
        <v>31</v>
      </c>
      <c r="B21" s="160"/>
      <c r="C21" s="21">
        <f t="shared" ref="C21:H21" si="1">SUM(C17:C20)</f>
        <v>261350</v>
      </c>
      <c r="D21" s="21">
        <f t="shared" si="1"/>
        <v>244201</v>
      </c>
      <c r="E21" s="21">
        <f t="shared" si="1"/>
        <v>2179</v>
      </c>
      <c r="F21" s="21">
        <f t="shared" si="1"/>
        <v>14970</v>
      </c>
      <c r="G21" s="54">
        <f t="shared" si="1"/>
        <v>2083055</v>
      </c>
      <c r="H21" s="54">
        <f t="shared" si="1"/>
        <v>2083055</v>
      </c>
      <c r="I21" s="54">
        <v>0</v>
      </c>
      <c r="J21" s="54">
        <v>0</v>
      </c>
      <c r="K21" s="21">
        <f>SUM(K17:K20)</f>
        <v>1484388</v>
      </c>
      <c r="L21" s="21">
        <f>SUM(L17:L20)</f>
        <v>1484388</v>
      </c>
      <c r="M21" s="21">
        <v>0</v>
      </c>
      <c r="N21" s="21">
        <v>0</v>
      </c>
      <c r="O21" s="54">
        <f>SUM(O17:O20)</f>
        <v>1983580</v>
      </c>
      <c r="P21" s="54">
        <f>SUM(P17:P20)</f>
        <v>1916707</v>
      </c>
      <c r="Q21" s="54">
        <v>0</v>
      </c>
      <c r="R21" s="54">
        <f>SUM(R17:R20)</f>
        <v>66873</v>
      </c>
    </row>
    <row r="22" spans="1:18" ht="15.95" customHeight="1" x14ac:dyDescent="0.25">
      <c r="A22" s="160" t="s">
        <v>33</v>
      </c>
      <c r="B22" s="160"/>
      <c r="C22" s="21">
        <f>C21/4</f>
        <v>65337.5</v>
      </c>
      <c r="D22" s="21">
        <f>D21/4</f>
        <v>61050.25</v>
      </c>
      <c r="E22" s="21">
        <f>E21/2</f>
        <v>1089.5</v>
      </c>
      <c r="F22" s="21">
        <f>F21/4</f>
        <v>3742.5</v>
      </c>
      <c r="G22" s="21">
        <f>G21/4</f>
        <v>520763.75</v>
      </c>
      <c r="H22" s="21">
        <f>H21/4</f>
        <v>520763.75</v>
      </c>
      <c r="I22" s="21">
        <v>0</v>
      </c>
      <c r="J22" s="21">
        <v>0</v>
      </c>
      <c r="K22" s="21">
        <f>K21/4</f>
        <v>371097</v>
      </c>
      <c r="L22" s="21">
        <f>L21/4</f>
        <v>371097</v>
      </c>
      <c r="M22" s="21">
        <v>0</v>
      </c>
      <c r="N22" s="21">
        <v>0</v>
      </c>
      <c r="O22" s="21">
        <f>O21/4</f>
        <v>495895</v>
      </c>
      <c r="P22" s="21">
        <f>P21/4</f>
        <v>479176.75</v>
      </c>
      <c r="Q22" s="21">
        <v>0</v>
      </c>
      <c r="R22" s="21">
        <f>R21/4</f>
        <v>16718.25</v>
      </c>
    </row>
    <row r="23" spans="1:18" ht="27" customHeight="1" x14ac:dyDescent="0.25">
      <c r="A23" s="161" t="s">
        <v>30</v>
      </c>
      <c r="B23" s="161"/>
      <c r="C23" s="51">
        <f t="shared" ref="C23:H23" si="2">SUM(C14,C21)</f>
        <v>469596</v>
      </c>
      <c r="D23" s="51">
        <f t="shared" si="2"/>
        <v>402037</v>
      </c>
      <c r="E23" s="51">
        <f t="shared" si="2"/>
        <v>13816</v>
      </c>
      <c r="F23" s="51">
        <f t="shared" si="2"/>
        <v>53743</v>
      </c>
      <c r="G23" s="50">
        <f t="shared" si="2"/>
        <v>2115384</v>
      </c>
      <c r="H23" s="50">
        <f t="shared" si="2"/>
        <v>2115384</v>
      </c>
      <c r="I23" s="50">
        <v>0</v>
      </c>
      <c r="J23" s="50">
        <v>0</v>
      </c>
      <c r="K23" s="51">
        <f>SUM(K14,K21)</f>
        <v>1564275</v>
      </c>
      <c r="L23" s="51">
        <f>SUM(L14,L21)</f>
        <v>1564275</v>
      </c>
      <c r="M23" s="51">
        <v>0</v>
      </c>
      <c r="N23" s="51">
        <v>0</v>
      </c>
      <c r="O23" s="50">
        <f>SUM(O14,O21)</f>
        <v>2323352</v>
      </c>
      <c r="P23" s="50">
        <f>SUM(P14,P21)</f>
        <v>2236583</v>
      </c>
      <c r="Q23" s="50">
        <f>SUM(Q14,Q21)</f>
        <v>3208</v>
      </c>
      <c r="R23" s="50">
        <f>SUM(R14,R21)</f>
        <v>83561</v>
      </c>
    </row>
    <row r="24" spans="1:18" ht="32.25" customHeight="1" x14ac:dyDescent="0.25">
      <c r="A24" s="161" t="s">
        <v>32</v>
      </c>
      <c r="B24" s="161"/>
      <c r="C24" s="51">
        <f>C23/11</f>
        <v>42690.545454545456</v>
      </c>
      <c r="D24" s="51">
        <f>D23/11</f>
        <v>36548.818181818184</v>
      </c>
      <c r="E24" s="51">
        <f>E23/7</f>
        <v>1973.7142857142858</v>
      </c>
      <c r="F24" s="51">
        <f>F23/8</f>
        <v>6717.875</v>
      </c>
      <c r="G24" s="51">
        <f>G23/11</f>
        <v>192307.63636363635</v>
      </c>
      <c r="H24" s="51">
        <f>H23/11</f>
        <v>192307.63636363635</v>
      </c>
      <c r="I24" s="51">
        <v>0</v>
      </c>
      <c r="J24" s="51">
        <v>0</v>
      </c>
      <c r="K24" s="51">
        <f>K23/11</f>
        <v>142206.81818181818</v>
      </c>
      <c r="L24" s="51">
        <f>L23/11</f>
        <v>142206.81818181818</v>
      </c>
      <c r="M24" s="51">
        <v>0</v>
      </c>
      <c r="N24" s="51">
        <v>0</v>
      </c>
      <c r="O24" s="51">
        <f>O23/11</f>
        <v>211213.81818181818</v>
      </c>
      <c r="P24" s="51">
        <f>P23/11</f>
        <v>203325.72727272726</v>
      </c>
      <c r="Q24" s="51">
        <f>Q23/8</f>
        <v>401</v>
      </c>
      <c r="R24" s="51">
        <f>R23/8</f>
        <v>10445.125</v>
      </c>
    </row>
  </sheetData>
  <mergeCells count="15">
    <mergeCell ref="A2:R2"/>
    <mergeCell ref="A14:B14"/>
    <mergeCell ref="A21:B21"/>
    <mergeCell ref="A23:B23"/>
    <mergeCell ref="A24:B24"/>
    <mergeCell ref="A16:R16"/>
    <mergeCell ref="A4:A5"/>
    <mergeCell ref="B4:B5"/>
    <mergeCell ref="C4:F4"/>
    <mergeCell ref="G4:J4"/>
    <mergeCell ref="K4:N4"/>
    <mergeCell ref="O4:R4"/>
    <mergeCell ref="A6:R6"/>
    <mergeCell ref="A15:B15"/>
    <mergeCell ref="A22:B22"/>
  </mergeCells>
  <pageMargins left="0.70000000000000007" right="0.70000000000000007" top="0.75" bottom="0.75" header="0.30000000000000004" footer="0.30000000000000004"/>
  <pageSetup paperSize="9" orientation="portrait" r:id="rId1"/>
  <ignoredErrors>
    <ignoredError sqref="E22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V25"/>
  <sheetViews>
    <sheetView workbookViewId="0">
      <selection activeCell="W20" sqref="W20"/>
    </sheetView>
  </sheetViews>
  <sheetFormatPr defaultRowHeight="15" x14ac:dyDescent="0.25"/>
  <cols>
    <col min="1" max="1" width="5.5703125" customWidth="1"/>
    <col min="2" max="2" width="27.140625" customWidth="1"/>
    <col min="3" max="3" width="8.85546875" customWidth="1"/>
    <col min="4" max="4" width="7.85546875" customWidth="1"/>
    <col min="5" max="5" width="7.7109375" customWidth="1"/>
    <col min="6" max="6" width="8.42578125" customWidth="1"/>
    <col min="7" max="7" width="7.85546875" customWidth="1"/>
    <col min="8" max="8" width="8.5703125" customWidth="1"/>
    <col min="9" max="9" width="8.28515625" customWidth="1"/>
    <col min="10" max="10" width="8" customWidth="1"/>
    <col min="11" max="11" width="8.28515625" customWidth="1"/>
    <col min="12" max="12" width="8.140625" customWidth="1"/>
    <col min="13" max="14" width="8.5703125" customWidth="1"/>
    <col min="15" max="15" width="7.85546875" customWidth="1"/>
    <col min="16" max="16" width="8.28515625" customWidth="1"/>
    <col min="17" max="17" width="8.42578125" customWidth="1"/>
    <col min="18" max="19" width="8.5703125" customWidth="1"/>
    <col min="20" max="20" width="7.85546875" customWidth="1"/>
    <col min="21" max="21" width="8.5703125" customWidth="1"/>
    <col min="22" max="22" width="8.42578125" customWidth="1"/>
  </cols>
  <sheetData>
    <row r="2" spans="1:22" ht="15.75" x14ac:dyDescent="0.25">
      <c r="A2" s="117" t="s">
        <v>84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</row>
    <row r="3" spans="1:22" ht="15.75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</row>
    <row r="4" spans="1:22" ht="15.75" customHeight="1" x14ac:dyDescent="0.25">
      <c r="A4" s="114" t="s">
        <v>0</v>
      </c>
      <c r="B4" s="114" t="s">
        <v>1</v>
      </c>
      <c r="C4" s="118" t="s">
        <v>85</v>
      </c>
      <c r="D4" s="119"/>
      <c r="E4" s="120"/>
      <c r="F4" s="114" t="s">
        <v>45</v>
      </c>
      <c r="G4" s="114" t="s">
        <v>37</v>
      </c>
      <c r="H4" s="118" t="s">
        <v>86</v>
      </c>
      <c r="I4" s="119"/>
      <c r="J4" s="120"/>
      <c r="K4" s="114" t="s">
        <v>45</v>
      </c>
      <c r="L4" s="114" t="s">
        <v>37</v>
      </c>
      <c r="M4" s="118" t="s">
        <v>87</v>
      </c>
      <c r="N4" s="119"/>
      <c r="O4" s="120"/>
      <c r="P4" s="114" t="s">
        <v>45</v>
      </c>
      <c r="Q4" s="114" t="s">
        <v>37</v>
      </c>
      <c r="R4" s="118" t="s">
        <v>88</v>
      </c>
      <c r="S4" s="119"/>
      <c r="T4" s="120"/>
      <c r="U4" s="114" t="s">
        <v>45</v>
      </c>
      <c r="V4" s="114" t="s">
        <v>37</v>
      </c>
    </row>
    <row r="5" spans="1:22" ht="15.75" customHeight="1" x14ac:dyDescent="0.25">
      <c r="A5" s="115"/>
      <c r="B5" s="115"/>
      <c r="C5" s="121"/>
      <c r="D5" s="122"/>
      <c r="E5" s="123"/>
      <c r="F5" s="115"/>
      <c r="G5" s="115"/>
      <c r="H5" s="121"/>
      <c r="I5" s="122"/>
      <c r="J5" s="123"/>
      <c r="K5" s="115"/>
      <c r="L5" s="115"/>
      <c r="M5" s="121"/>
      <c r="N5" s="122"/>
      <c r="O5" s="123"/>
      <c r="P5" s="115"/>
      <c r="Q5" s="115"/>
      <c r="R5" s="121"/>
      <c r="S5" s="122"/>
      <c r="T5" s="123"/>
      <c r="U5" s="115"/>
      <c r="V5" s="115"/>
    </row>
    <row r="6" spans="1:22" ht="15.75" x14ac:dyDescent="0.25">
      <c r="A6" s="115"/>
      <c r="B6" s="115"/>
      <c r="C6" s="8" t="s">
        <v>38</v>
      </c>
      <c r="D6" s="8" t="s">
        <v>39</v>
      </c>
      <c r="E6" s="8" t="s">
        <v>40</v>
      </c>
      <c r="F6" s="115"/>
      <c r="G6" s="115"/>
      <c r="H6" s="8" t="s">
        <v>38</v>
      </c>
      <c r="I6" s="8" t="s">
        <v>39</v>
      </c>
      <c r="J6" s="8" t="s">
        <v>40</v>
      </c>
      <c r="K6" s="115"/>
      <c r="L6" s="115"/>
      <c r="M6" s="8" t="s">
        <v>38</v>
      </c>
      <c r="N6" s="8" t="s">
        <v>39</v>
      </c>
      <c r="O6" s="8" t="s">
        <v>40</v>
      </c>
      <c r="P6" s="115"/>
      <c r="Q6" s="115"/>
      <c r="R6" s="8" t="s">
        <v>38</v>
      </c>
      <c r="S6" s="8" t="s">
        <v>39</v>
      </c>
      <c r="T6" s="8" t="s">
        <v>40</v>
      </c>
      <c r="U6" s="115"/>
      <c r="V6" s="115"/>
    </row>
    <row r="7" spans="1:22" ht="15.75" x14ac:dyDescent="0.25">
      <c r="A7" s="125" t="s">
        <v>8</v>
      </c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</row>
    <row r="8" spans="1:22" ht="16.5" customHeight="1" x14ac:dyDescent="0.25">
      <c r="A8" s="3" t="s">
        <v>9</v>
      </c>
      <c r="B8" s="4" t="s">
        <v>10</v>
      </c>
      <c r="C8" s="6">
        <v>22199</v>
      </c>
      <c r="D8" s="6">
        <v>15988</v>
      </c>
      <c r="E8" s="6">
        <v>6211</v>
      </c>
      <c r="F8" s="6">
        <v>24930</v>
      </c>
      <c r="G8" s="6">
        <f t="shared" ref="G8:G14" si="0">C8-F8</f>
        <v>-2731</v>
      </c>
      <c r="H8" s="6">
        <v>5574</v>
      </c>
      <c r="I8" s="6">
        <v>3925</v>
      </c>
      <c r="J8" s="6">
        <v>1649</v>
      </c>
      <c r="K8" s="6">
        <v>7690</v>
      </c>
      <c r="L8" s="6">
        <f t="shared" ref="L8:L15" si="1">H8-K8</f>
        <v>-2116</v>
      </c>
      <c r="M8" s="6">
        <f>15411+1214</f>
        <v>16625</v>
      </c>
      <c r="N8" s="6">
        <f>11207+856</f>
        <v>12063</v>
      </c>
      <c r="O8" s="6">
        <f>4204+358</f>
        <v>4562</v>
      </c>
      <c r="P8" s="6">
        <f>15966+1274</f>
        <v>17240</v>
      </c>
      <c r="Q8" s="6">
        <f>M8-P8</f>
        <v>-615</v>
      </c>
      <c r="R8" s="6" t="s">
        <v>12</v>
      </c>
      <c r="S8" s="6" t="s">
        <v>12</v>
      </c>
      <c r="T8" s="6" t="s">
        <v>12</v>
      </c>
      <c r="U8" s="6" t="s">
        <v>12</v>
      </c>
      <c r="V8" s="6" t="s">
        <v>12</v>
      </c>
    </row>
    <row r="9" spans="1:22" ht="16.5" customHeight="1" x14ac:dyDescent="0.25">
      <c r="A9" s="3" t="s">
        <v>13</v>
      </c>
      <c r="B9" s="4" t="s">
        <v>14</v>
      </c>
      <c r="C9" s="6">
        <v>10786</v>
      </c>
      <c r="D9" s="6">
        <v>9554</v>
      </c>
      <c r="E9" s="6">
        <v>1232</v>
      </c>
      <c r="F9" s="6">
        <v>12230</v>
      </c>
      <c r="G9" s="6">
        <f t="shared" si="0"/>
        <v>-1444</v>
      </c>
      <c r="H9" s="6">
        <v>3305</v>
      </c>
      <c r="I9" s="6">
        <v>2860</v>
      </c>
      <c r="J9" s="6">
        <v>445</v>
      </c>
      <c r="K9" s="6">
        <v>4176</v>
      </c>
      <c r="L9" s="6">
        <f t="shared" si="1"/>
        <v>-871</v>
      </c>
      <c r="M9" s="6">
        <v>625</v>
      </c>
      <c r="N9" s="6">
        <v>538</v>
      </c>
      <c r="O9" s="6">
        <v>87</v>
      </c>
      <c r="P9" s="6">
        <v>737</v>
      </c>
      <c r="Q9" s="6">
        <f>M9-P9</f>
        <v>-112</v>
      </c>
      <c r="R9" s="6">
        <v>6856</v>
      </c>
      <c r="S9" s="6">
        <v>6156</v>
      </c>
      <c r="T9" s="6">
        <v>700</v>
      </c>
      <c r="U9" s="6">
        <v>7317</v>
      </c>
      <c r="V9" s="6">
        <f>R9-U9</f>
        <v>-461</v>
      </c>
    </row>
    <row r="10" spans="1:22" ht="17.25" customHeight="1" x14ac:dyDescent="0.25">
      <c r="A10" s="3" t="s">
        <v>15</v>
      </c>
      <c r="B10" s="4" t="s">
        <v>16</v>
      </c>
      <c r="C10" s="6">
        <v>7874</v>
      </c>
      <c r="D10" s="6">
        <v>6905</v>
      </c>
      <c r="E10" s="6">
        <v>969</v>
      </c>
      <c r="F10" s="6">
        <v>8490</v>
      </c>
      <c r="G10" s="6">
        <f t="shared" si="0"/>
        <v>-616</v>
      </c>
      <c r="H10" s="6">
        <v>3810</v>
      </c>
      <c r="I10" s="6">
        <v>3223</v>
      </c>
      <c r="J10" s="6">
        <v>587</v>
      </c>
      <c r="K10" s="6">
        <v>4201</v>
      </c>
      <c r="L10" s="6">
        <f t="shared" si="1"/>
        <v>-391</v>
      </c>
      <c r="M10" s="6">
        <v>543</v>
      </c>
      <c r="N10" s="6">
        <v>501</v>
      </c>
      <c r="O10" s="6">
        <v>42</v>
      </c>
      <c r="P10" s="6">
        <v>573</v>
      </c>
      <c r="Q10" s="6">
        <f>M10-P10</f>
        <v>-30</v>
      </c>
      <c r="R10" s="6">
        <v>3521</v>
      </c>
      <c r="S10" s="6">
        <v>3181</v>
      </c>
      <c r="T10" s="6">
        <v>340</v>
      </c>
      <c r="U10" s="6">
        <v>3716</v>
      </c>
      <c r="V10" s="6">
        <f>R10-U10</f>
        <v>-195</v>
      </c>
    </row>
    <row r="11" spans="1:22" ht="16.5" customHeight="1" x14ac:dyDescent="0.25">
      <c r="A11" s="3" t="s">
        <v>17</v>
      </c>
      <c r="B11" s="4" t="s">
        <v>18</v>
      </c>
      <c r="C11" s="6">
        <v>1418</v>
      </c>
      <c r="D11" s="6">
        <v>809</v>
      </c>
      <c r="E11" s="6">
        <v>609</v>
      </c>
      <c r="F11" s="6">
        <v>1449</v>
      </c>
      <c r="G11" s="6">
        <f t="shared" si="0"/>
        <v>-31</v>
      </c>
      <c r="H11" s="6">
        <v>800</v>
      </c>
      <c r="I11" s="6">
        <v>448</v>
      </c>
      <c r="J11" s="6">
        <v>352</v>
      </c>
      <c r="K11" s="6">
        <v>783</v>
      </c>
      <c r="L11" s="6">
        <f t="shared" si="1"/>
        <v>17</v>
      </c>
      <c r="M11" s="6">
        <v>618</v>
      </c>
      <c r="N11" s="6">
        <v>361</v>
      </c>
      <c r="O11" s="6">
        <v>257</v>
      </c>
      <c r="P11" s="6">
        <v>666</v>
      </c>
      <c r="Q11" s="6">
        <f>M11-P11</f>
        <v>-48</v>
      </c>
      <c r="R11" s="6" t="s">
        <v>12</v>
      </c>
      <c r="S11" s="6" t="s">
        <v>12</v>
      </c>
      <c r="T11" s="6" t="s">
        <v>12</v>
      </c>
      <c r="U11" s="6" t="s">
        <v>12</v>
      </c>
      <c r="V11" s="6" t="s">
        <v>12</v>
      </c>
    </row>
    <row r="12" spans="1:22" ht="15" customHeight="1" x14ac:dyDescent="0.25">
      <c r="A12" s="3" t="s">
        <v>19</v>
      </c>
      <c r="B12" s="4" t="s">
        <v>20</v>
      </c>
      <c r="C12" s="6">
        <v>5422</v>
      </c>
      <c r="D12" s="6">
        <v>3840</v>
      </c>
      <c r="E12" s="6">
        <v>1582</v>
      </c>
      <c r="F12" s="6">
        <v>6249</v>
      </c>
      <c r="G12" s="6">
        <f t="shared" si="0"/>
        <v>-827</v>
      </c>
      <c r="H12" s="6">
        <v>5422</v>
      </c>
      <c r="I12" s="6">
        <v>3840</v>
      </c>
      <c r="J12" s="6">
        <v>1582</v>
      </c>
      <c r="K12" s="6">
        <v>6249</v>
      </c>
      <c r="L12" s="6">
        <f t="shared" si="1"/>
        <v>-827</v>
      </c>
      <c r="M12" s="6" t="s">
        <v>12</v>
      </c>
      <c r="N12" s="6" t="s">
        <v>12</v>
      </c>
      <c r="O12" s="6" t="s">
        <v>12</v>
      </c>
      <c r="P12" s="6" t="s">
        <v>12</v>
      </c>
      <c r="Q12" s="6" t="s">
        <v>12</v>
      </c>
      <c r="R12" s="6" t="s">
        <v>12</v>
      </c>
      <c r="S12" s="6" t="s">
        <v>12</v>
      </c>
      <c r="T12" s="6" t="s">
        <v>12</v>
      </c>
      <c r="U12" s="6" t="s">
        <v>12</v>
      </c>
      <c r="V12" s="6" t="s">
        <v>12</v>
      </c>
    </row>
    <row r="13" spans="1:22" ht="15" customHeight="1" x14ac:dyDescent="0.25">
      <c r="A13" s="3" t="s">
        <v>21</v>
      </c>
      <c r="B13" s="4" t="s">
        <v>22</v>
      </c>
      <c r="C13" s="6">
        <v>4091</v>
      </c>
      <c r="D13" s="6">
        <v>3635</v>
      </c>
      <c r="E13" s="6">
        <v>456</v>
      </c>
      <c r="F13" s="6">
        <v>4622</v>
      </c>
      <c r="G13" s="6">
        <f t="shared" si="0"/>
        <v>-531</v>
      </c>
      <c r="H13" s="6">
        <v>1453</v>
      </c>
      <c r="I13" s="6">
        <v>1234</v>
      </c>
      <c r="J13" s="6">
        <v>219</v>
      </c>
      <c r="K13" s="6">
        <v>1764</v>
      </c>
      <c r="L13" s="6">
        <f t="shared" si="1"/>
        <v>-311</v>
      </c>
      <c r="M13" s="6">
        <v>209</v>
      </c>
      <c r="N13" s="6">
        <v>188</v>
      </c>
      <c r="O13" s="6">
        <v>21</v>
      </c>
      <c r="P13" s="6">
        <v>263</v>
      </c>
      <c r="Q13" s="6">
        <f>M13-P13</f>
        <v>-54</v>
      </c>
      <c r="R13" s="6">
        <v>2429</v>
      </c>
      <c r="S13" s="6">
        <v>2213</v>
      </c>
      <c r="T13" s="6">
        <v>216</v>
      </c>
      <c r="U13" s="6">
        <v>2595</v>
      </c>
      <c r="V13" s="6">
        <f>R13-U13</f>
        <v>-166</v>
      </c>
    </row>
    <row r="14" spans="1:22" ht="15.75" x14ac:dyDescent="0.25">
      <c r="A14" s="3" t="s">
        <v>23</v>
      </c>
      <c r="B14" s="4" t="s">
        <v>24</v>
      </c>
      <c r="C14" s="6">
        <v>8024</v>
      </c>
      <c r="D14" s="6">
        <v>7039</v>
      </c>
      <c r="E14" s="6">
        <v>985</v>
      </c>
      <c r="F14" s="6">
        <v>9073</v>
      </c>
      <c r="G14" s="6">
        <f t="shared" si="0"/>
        <v>-1049</v>
      </c>
      <c r="H14" s="6">
        <v>2845</v>
      </c>
      <c r="I14" s="6">
        <v>2454</v>
      </c>
      <c r="J14" s="6">
        <v>391</v>
      </c>
      <c r="K14" s="6">
        <v>3437</v>
      </c>
      <c r="L14" s="6">
        <f t="shared" si="1"/>
        <v>-592</v>
      </c>
      <c r="M14" s="6" t="s">
        <v>12</v>
      </c>
      <c r="N14" s="6" t="s">
        <v>12</v>
      </c>
      <c r="O14" s="6" t="s">
        <v>12</v>
      </c>
      <c r="P14" s="6" t="s">
        <v>12</v>
      </c>
      <c r="Q14" s="6" t="s">
        <v>12</v>
      </c>
      <c r="R14" s="6">
        <v>5179</v>
      </c>
      <c r="S14" s="6">
        <v>4585</v>
      </c>
      <c r="T14" s="6">
        <v>594</v>
      </c>
      <c r="U14" s="6">
        <v>5636</v>
      </c>
      <c r="V14" s="6">
        <f>R14-U14</f>
        <v>-457</v>
      </c>
    </row>
    <row r="15" spans="1:22" ht="15.75" x14ac:dyDescent="0.25">
      <c r="A15" s="124" t="s">
        <v>31</v>
      </c>
      <c r="B15" s="124"/>
      <c r="C15" s="7">
        <f t="shared" ref="C15:K15" si="2">SUM(C8:C14)</f>
        <v>59814</v>
      </c>
      <c r="D15" s="7">
        <f t="shared" si="2"/>
        <v>47770</v>
      </c>
      <c r="E15" s="7">
        <f t="shared" si="2"/>
        <v>12044</v>
      </c>
      <c r="F15" s="7">
        <f t="shared" si="2"/>
        <v>67043</v>
      </c>
      <c r="G15" s="7">
        <f t="shared" si="2"/>
        <v>-7229</v>
      </c>
      <c r="H15" s="7">
        <f t="shared" si="2"/>
        <v>23209</v>
      </c>
      <c r="I15" s="7">
        <f t="shared" si="2"/>
        <v>17984</v>
      </c>
      <c r="J15" s="7">
        <f t="shared" si="2"/>
        <v>5225</v>
      </c>
      <c r="K15" s="7">
        <f t="shared" si="2"/>
        <v>28300</v>
      </c>
      <c r="L15" s="7">
        <f t="shared" si="1"/>
        <v>-5091</v>
      </c>
      <c r="M15" s="9">
        <f>SUM(M8:M13)</f>
        <v>18620</v>
      </c>
      <c r="N15" s="9">
        <f>SUM(N8:N13)</f>
        <v>13651</v>
      </c>
      <c r="O15" s="9">
        <f>SUM(O8:O13)</f>
        <v>4969</v>
      </c>
      <c r="P15" s="9">
        <f>SUM(P8:P13)</f>
        <v>19479</v>
      </c>
      <c r="Q15" s="9">
        <f>SUM(Q8:Q13)</f>
        <v>-859</v>
      </c>
      <c r="R15" s="9">
        <f>SUM(R9:R14)</f>
        <v>17985</v>
      </c>
      <c r="S15" s="9">
        <f>SUM(S9:S14)</f>
        <v>16135</v>
      </c>
      <c r="T15" s="9">
        <f>SUM(T9:T14)</f>
        <v>1850</v>
      </c>
      <c r="U15" s="9">
        <f>SUM(U9:U14)</f>
        <v>19264</v>
      </c>
      <c r="V15" s="9">
        <f>R15-U15</f>
        <v>-1279</v>
      </c>
    </row>
    <row r="16" spans="1:22" ht="15.75" x14ac:dyDescent="0.25">
      <c r="A16" s="108" t="s">
        <v>33</v>
      </c>
      <c r="B16" s="109"/>
      <c r="C16" s="9">
        <f t="shared" ref="C16:L16" si="3">C15/7</f>
        <v>8544.8571428571431</v>
      </c>
      <c r="D16" s="9">
        <f t="shared" si="3"/>
        <v>6824.2857142857147</v>
      </c>
      <c r="E16" s="9">
        <f t="shared" si="3"/>
        <v>1720.5714285714287</v>
      </c>
      <c r="F16" s="9">
        <f t="shared" si="3"/>
        <v>9577.5714285714294</v>
      </c>
      <c r="G16" s="9">
        <f t="shared" si="3"/>
        <v>-1032.7142857142858</v>
      </c>
      <c r="H16" s="9">
        <f t="shared" si="3"/>
        <v>3315.5714285714284</v>
      </c>
      <c r="I16" s="9">
        <f t="shared" si="3"/>
        <v>2569.1428571428573</v>
      </c>
      <c r="J16" s="9">
        <f t="shared" si="3"/>
        <v>746.42857142857144</v>
      </c>
      <c r="K16" s="9">
        <f t="shared" si="3"/>
        <v>4042.8571428571427</v>
      </c>
      <c r="L16" s="7">
        <f t="shared" si="3"/>
        <v>-727.28571428571433</v>
      </c>
      <c r="M16" s="9">
        <f>M15/5</f>
        <v>3724</v>
      </c>
      <c r="N16" s="9">
        <f>N15/5</f>
        <v>2730.2</v>
      </c>
      <c r="O16" s="9">
        <f>O15/5</f>
        <v>993.8</v>
      </c>
      <c r="P16" s="9">
        <f>P15/5</f>
        <v>3895.8</v>
      </c>
      <c r="Q16" s="9">
        <f>Q15/5</f>
        <v>-171.8</v>
      </c>
      <c r="R16" s="9">
        <f>R15/4</f>
        <v>4496.25</v>
      </c>
      <c r="S16" s="9">
        <f>S15/4</f>
        <v>4033.75</v>
      </c>
      <c r="T16" s="9">
        <f>T15/4</f>
        <v>462.5</v>
      </c>
      <c r="U16" s="9">
        <f>U15/4</f>
        <v>4816</v>
      </c>
      <c r="V16" s="9">
        <f>V15/4</f>
        <v>-319.75</v>
      </c>
    </row>
    <row r="17" spans="1:22" ht="15.75" x14ac:dyDescent="0.25">
      <c r="A17" s="125" t="s">
        <v>25</v>
      </c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</row>
    <row r="18" spans="1:22" ht="15.75" customHeight="1" x14ac:dyDescent="0.25">
      <c r="A18" s="3" t="s">
        <v>9</v>
      </c>
      <c r="B18" s="4" t="s">
        <v>26</v>
      </c>
      <c r="C18" s="6">
        <v>5762</v>
      </c>
      <c r="D18" s="6">
        <v>4801</v>
      </c>
      <c r="E18" s="6">
        <v>961</v>
      </c>
      <c r="F18" s="6">
        <v>6231</v>
      </c>
      <c r="G18" s="6">
        <f>C18-F18</f>
        <v>-469</v>
      </c>
      <c r="H18" s="6">
        <v>2150</v>
      </c>
      <c r="I18" s="6">
        <v>1630</v>
      </c>
      <c r="J18" s="6">
        <v>520</v>
      </c>
      <c r="K18" s="6">
        <v>2316</v>
      </c>
      <c r="L18" s="6">
        <f>H18-K18</f>
        <v>-166</v>
      </c>
      <c r="M18" s="6">
        <v>289</v>
      </c>
      <c r="N18" s="6">
        <v>257</v>
      </c>
      <c r="O18" s="6">
        <v>32</v>
      </c>
      <c r="P18" s="6">
        <v>324</v>
      </c>
      <c r="Q18" s="6">
        <f>M18-P18</f>
        <v>-35</v>
      </c>
      <c r="R18" s="6">
        <v>3323</v>
      </c>
      <c r="S18" s="6">
        <v>2914</v>
      </c>
      <c r="T18" s="6">
        <v>409</v>
      </c>
      <c r="U18" s="6">
        <v>3591</v>
      </c>
      <c r="V18" s="6">
        <f>R18-U18</f>
        <v>-268</v>
      </c>
    </row>
    <row r="19" spans="1:22" ht="15" customHeight="1" x14ac:dyDescent="0.25">
      <c r="A19" s="3" t="s">
        <v>13</v>
      </c>
      <c r="B19" s="4" t="s">
        <v>27</v>
      </c>
      <c r="C19" s="6">
        <v>1566</v>
      </c>
      <c r="D19" s="6">
        <v>1396</v>
      </c>
      <c r="E19" s="6">
        <v>170</v>
      </c>
      <c r="F19" s="6">
        <v>1997</v>
      </c>
      <c r="G19" s="6">
        <f>C19-F19</f>
        <v>-431</v>
      </c>
      <c r="H19" s="6">
        <v>554</v>
      </c>
      <c r="I19" s="6">
        <v>459</v>
      </c>
      <c r="J19" s="6">
        <v>95</v>
      </c>
      <c r="K19" s="6">
        <v>802</v>
      </c>
      <c r="L19" s="6">
        <f>H19-K19</f>
        <v>-248</v>
      </c>
      <c r="M19" s="6" t="s">
        <v>12</v>
      </c>
      <c r="N19" s="6" t="s">
        <v>12</v>
      </c>
      <c r="O19" s="6" t="s">
        <v>12</v>
      </c>
      <c r="P19" s="6" t="s">
        <v>12</v>
      </c>
      <c r="Q19" s="6" t="s">
        <v>12</v>
      </c>
      <c r="R19" s="6">
        <v>1012</v>
      </c>
      <c r="S19" s="6">
        <v>937</v>
      </c>
      <c r="T19" s="6">
        <v>75</v>
      </c>
      <c r="U19" s="6">
        <v>1195</v>
      </c>
      <c r="V19" s="6">
        <f>R19-U19</f>
        <v>-183</v>
      </c>
    </row>
    <row r="20" spans="1:22" ht="15.75" x14ac:dyDescent="0.25">
      <c r="A20" s="3" t="s">
        <v>15</v>
      </c>
      <c r="B20" s="4" t="s">
        <v>28</v>
      </c>
      <c r="C20" s="6">
        <v>4754</v>
      </c>
      <c r="D20" s="6">
        <v>4241</v>
      </c>
      <c r="E20" s="6">
        <v>513</v>
      </c>
      <c r="F20" s="6">
        <v>5528</v>
      </c>
      <c r="G20" s="6">
        <f>C20-F20</f>
        <v>-774</v>
      </c>
      <c r="H20" s="6">
        <v>1498</v>
      </c>
      <c r="I20" s="6">
        <v>1358</v>
      </c>
      <c r="J20" s="6">
        <v>140</v>
      </c>
      <c r="K20" s="6">
        <v>1869</v>
      </c>
      <c r="L20" s="6">
        <f>H20-K20</f>
        <v>-371</v>
      </c>
      <c r="M20" s="6" t="s">
        <v>12</v>
      </c>
      <c r="N20" s="6" t="s">
        <v>12</v>
      </c>
      <c r="O20" s="6" t="s">
        <v>12</v>
      </c>
      <c r="P20" s="6" t="s">
        <v>12</v>
      </c>
      <c r="Q20" s="6" t="s">
        <v>12</v>
      </c>
      <c r="R20" s="6">
        <v>3256</v>
      </c>
      <c r="S20" s="6">
        <v>2883</v>
      </c>
      <c r="T20" s="6">
        <v>373</v>
      </c>
      <c r="U20" s="6">
        <v>3659</v>
      </c>
      <c r="V20" s="6">
        <f>R20-U20</f>
        <v>-403</v>
      </c>
    </row>
    <row r="21" spans="1:22" ht="16.5" customHeight="1" x14ac:dyDescent="0.25">
      <c r="A21" s="3" t="s">
        <v>17</v>
      </c>
      <c r="B21" s="4" t="s">
        <v>29</v>
      </c>
      <c r="C21" s="6">
        <v>8891</v>
      </c>
      <c r="D21" s="6">
        <v>7783</v>
      </c>
      <c r="E21" s="6">
        <v>1108</v>
      </c>
      <c r="F21" s="6">
        <v>9366</v>
      </c>
      <c r="G21" s="6">
        <f>C21-F21</f>
        <v>-475</v>
      </c>
      <c r="H21" s="6">
        <v>3300</v>
      </c>
      <c r="I21" s="6">
        <v>2854</v>
      </c>
      <c r="J21" s="6">
        <v>446</v>
      </c>
      <c r="K21" s="6">
        <v>3695</v>
      </c>
      <c r="L21" s="6">
        <f>H21-K21</f>
        <v>-395</v>
      </c>
      <c r="M21" s="6">
        <v>959</v>
      </c>
      <c r="N21" s="6">
        <v>836</v>
      </c>
      <c r="O21" s="6">
        <v>123</v>
      </c>
      <c r="P21" s="6">
        <v>879</v>
      </c>
      <c r="Q21" s="6">
        <f>M21-P21</f>
        <v>80</v>
      </c>
      <c r="R21" s="6">
        <v>4632</v>
      </c>
      <c r="S21" s="6">
        <v>4093</v>
      </c>
      <c r="T21" s="6">
        <v>539</v>
      </c>
      <c r="U21" s="6">
        <v>4792</v>
      </c>
      <c r="V21" s="6">
        <f>R21-U21</f>
        <v>-160</v>
      </c>
    </row>
    <row r="22" spans="1:22" ht="16.5" customHeight="1" x14ac:dyDescent="0.25">
      <c r="A22" s="124" t="s">
        <v>31</v>
      </c>
      <c r="B22" s="124"/>
      <c r="C22" s="7">
        <f t="shared" ref="C22:U22" si="4">SUM(C18:C21)</f>
        <v>20973</v>
      </c>
      <c r="D22" s="7">
        <f t="shared" si="4"/>
        <v>18221</v>
      </c>
      <c r="E22" s="7">
        <f t="shared" si="4"/>
        <v>2752</v>
      </c>
      <c r="F22" s="7">
        <f t="shared" si="4"/>
        <v>23122</v>
      </c>
      <c r="G22" s="7">
        <f t="shared" si="4"/>
        <v>-2149</v>
      </c>
      <c r="H22" s="7">
        <f t="shared" si="4"/>
        <v>7502</v>
      </c>
      <c r="I22" s="7">
        <f t="shared" si="4"/>
        <v>6301</v>
      </c>
      <c r="J22" s="7">
        <f t="shared" si="4"/>
        <v>1201</v>
      </c>
      <c r="K22" s="7">
        <f t="shared" si="4"/>
        <v>8682</v>
      </c>
      <c r="L22" s="7">
        <f t="shared" si="4"/>
        <v>-1180</v>
      </c>
      <c r="M22" s="7">
        <f t="shared" si="4"/>
        <v>1248</v>
      </c>
      <c r="N22" s="7">
        <f t="shared" si="4"/>
        <v>1093</v>
      </c>
      <c r="O22" s="7">
        <f t="shared" si="4"/>
        <v>155</v>
      </c>
      <c r="P22" s="7">
        <f t="shared" si="4"/>
        <v>1203</v>
      </c>
      <c r="Q22" s="9">
        <f t="shared" si="4"/>
        <v>45</v>
      </c>
      <c r="R22" s="7">
        <f t="shared" si="4"/>
        <v>12223</v>
      </c>
      <c r="S22" s="7">
        <f t="shared" si="4"/>
        <v>10827</v>
      </c>
      <c r="T22" s="7">
        <f t="shared" si="4"/>
        <v>1396</v>
      </c>
      <c r="U22" s="7">
        <f t="shared" si="4"/>
        <v>13237</v>
      </c>
      <c r="V22" s="7">
        <f>R22-U22</f>
        <v>-1014</v>
      </c>
    </row>
    <row r="23" spans="1:22" ht="15.75" x14ac:dyDescent="0.25">
      <c r="A23" s="108" t="s">
        <v>33</v>
      </c>
      <c r="B23" s="109"/>
      <c r="C23" s="9">
        <f t="shared" ref="C23:L23" si="5">C22/4</f>
        <v>5243.25</v>
      </c>
      <c r="D23" s="9">
        <f t="shared" si="5"/>
        <v>4555.25</v>
      </c>
      <c r="E23" s="9">
        <f t="shared" si="5"/>
        <v>688</v>
      </c>
      <c r="F23" s="9">
        <f t="shared" si="5"/>
        <v>5780.5</v>
      </c>
      <c r="G23" s="9">
        <f t="shared" si="5"/>
        <v>-537.25</v>
      </c>
      <c r="H23" s="9">
        <f t="shared" si="5"/>
        <v>1875.5</v>
      </c>
      <c r="I23" s="9">
        <f t="shared" si="5"/>
        <v>1575.25</v>
      </c>
      <c r="J23" s="9">
        <f t="shared" si="5"/>
        <v>300.25</v>
      </c>
      <c r="K23" s="9">
        <f t="shared" si="5"/>
        <v>2170.5</v>
      </c>
      <c r="L23" s="9">
        <f t="shared" si="5"/>
        <v>-295</v>
      </c>
      <c r="M23" s="9">
        <f>M22/2</f>
        <v>624</v>
      </c>
      <c r="N23" s="9">
        <f>N22/2</f>
        <v>546.5</v>
      </c>
      <c r="O23" s="9">
        <f>O22/2</f>
        <v>77.5</v>
      </c>
      <c r="P23" s="9">
        <f>P22/2</f>
        <v>601.5</v>
      </c>
      <c r="Q23" s="9">
        <f>Q22/2</f>
        <v>22.5</v>
      </c>
      <c r="R23" s="9">
        <f>R22/4</f>
        <v>3055.75</v>
      </c>
      <c r="S23" s="9">
        <f>S22/4</f>
        <v>2706.75</v>
      </c>
      <c r="T23" s="9">
        <f>T22/4</f>
        <v>349</v>
      </c>
      <c r="U23" s="9">
        <f>U22/4</f>
        <v>3309.25</v>
      </c>
      <c r="V23" s="9">
        <f>V22/4</f>
        <v>-253.5</v>
      </c>
    </row>
    <row r="24" spans="1:22" ht="28.5" customHeight="1" x14ac:dyDescent="0.25">
      <c r="A24" s="106" t="s">
        <v>30</v>
      </c>
      <c r="B24" s="116"/>
      <c r="C24" s="50">
        <f t="shared" ref="C24:V24" si="6">SUM(C15,C22)</f>
        <v>80787</v>
      </c>
      <c r="D24" s="50">
        <f t="shared" si="6"/>
        <v>65991</v>
      </c>
      <c r="E24" s="50">
        <f t="shared" si="6"/>
        <v>14796</v>
      </c>
      <c r="F24" s="50">
        <f t="shared" si="6"/>
        <v>90165</v>
      </c>
      <c r="G24" s="50">
        <f t="shared" si="6"/>
        <v>-9378</v>
      </c>
      <c r="H24" s="50">
        <f t="shared" si="6"/>
        <v>30711</v>
      </c>
      <c r="I24" s="50">
        <f t="shared" si="6"/>
        <v>24285</v>
      </c>
      <c r="J24" s="50">
        <f t="shared" si="6"/>
        <v>6426</v>
      </c>
      <c r="K24" s="50">
        <f t="shared" si="6"/>
        <v>36982</v>
      </c>
      <c r="L24" s="50">
        <f t="shared" si="6"/>
        <v>-6271</v>
      </c>
      <c r="M24" s="51">
        <f t="shared" si="6"/>
        <v>19868</v>
      </c>
      <c r="N24" s="51">
        <f t="shared" si="6"/>
        <v>14744</v>
      </c>
      <c r="O24" s="51">
        <f t="shared" si="6"/>
        <v>5124</v>
      </c>
      <c r="P24" s="51">
        <f t="shared" si="6"/>
        <v>20682</v>
      </c>
      <c r="Q24" s="51">
        <f t="shared" si="6"/>
        <v>-814</v>
      </c>
      <c r="R24" s="51">
        <f t="shared" si="6"/>
        <v>30208</v>
      </c>
      <c r="S24" s="51">
        <f t="shared" si="6"/>
        <v>26962</v>
      </c>
      <c r="T24" s="51">
        <f t="shared" si="6"/>
        <v>3246</v>
      </c>
      <c r="U24" s="51">
        <f t="shared" si="6"/>
        <v>32501</v>
      </c>
      <c r="V24" s="51">
        <f t="shared" si="6"/>
        <v>-2293</v>
      </c>
    </row>
    <row r="25" spans="1:22" ht="32.25" customHeight="1" x14ac:dyDescent="0.25">
      <c r="A25" s="106" t="s">
        <v>32</v>
      </c>
      <c r="B25" s="116"/>
      <c r="C25" s="51">
        <f t="shared" ref="C25:L25" si="7">C24/11</f>
        <v>7344.272727272727</v>
      </c>
      <c r="D25" s="51">
        <f t="shared" si="7"/>
        <v>5999.181818181818</v>
      </c>
      <c r="E25" s="51">
        <f t="shared" si="7"/>
        <v>1345.090909090909</v>
      </c>
      <c r="F25" s="51">
        <f t="shared" si="7"/>
        <v>8196.818181818182</v>
      </c>
      <c r="G25" s="51">
        <f t="shared" si="7"/>
        <v>-852.5454545454545</v>
      </c>
      <c r="H25" s="51">
        <f t="shared" si="7"/>
        <v>2791.909090909091</v>
      </c>
      <c r="I25" s="51">
        <f t="shared" si="7"/>
        <v>2207.7272727272725</v>
      </c>
      <c r="J25" s="51">
        <f t="shared" si="7"/>
        <v>584.18181818181813</v>
      </c>
      <c r="K25" s="51">
        <f t="shared" si="7"/>
        <v>3362</v>
      </c>
      <c r="L25" s="51">
        <f t="shared" si="7"/>
        <v>-570.09090909090912</v>
      </c>
      <c r="M25" s="51">
        <f>M24/7</f>
        <v>2838.2857142857142</v>
      </c>
      <c r="N25" s="51">
        <f>N24/7</f>
        <v>2106.2857142857142</v>
      </c>
      <c r="O25" s="51">
        <f>O24/7</f>
        <v>732</v>
      </c>
      <c r="P25" s="51">
        <f>P24/7</f>
        <v>2954.5714285714284</v>
      </c>
      <c r="Q25" s="51">
        <f>Q24/7</f>
        <v>-116.28571428571429</v>
      </c>
      <c r="R25" s="51">
        <f>R24/8</f>
        <v>3776</v>
      </c>
      <c r="S25" s="51">
        <f>S24/8</f>
        <v>3370.25</v>
      </c>
      <c r="T25" s="51">
        <f>T24/8</f>
        <v>405.75</v>
      </c>
      <c r="U25" s="51">
        <f>U24/8</f>
        <v>4062.625</v>
      </c>
      <c r="V25" s="51">
        <f>V24/8</f>
        <v>-286.625</v>
      </c>
    </row>
  </sheetData>
  <mergeCells count="23">
    <mergeCell ref="A25:B25"/>
    <mergeCell ref="A2:V2"/>
    <mergeCell ref="C4:E5"/>
    <mergeCell ref="H4:J5"/>
    <mergeCell ref="M4:O5"/>
    <mergeCell ref="R4:T5"/>
    <mergeCell ref="A16:B16"/>
    <mergeCell ref="A22:B22"/>
    <mergeCell ref="A7:V7"/>
    <mergeCell ref="A15:B15"/>
    <mergeCell ref="A17:V17"/>
    <mergeCell ref="A23:B23"/>
    <mergeCell ref="A24:B24"/>
    <mergeCell ref="V4:V6"/>
    <mergeCell ref="P4:P6"/>
    <mergeCell ref="Q4:Q6"/>
    <mergeCell ref="U4:U6"/>
    <mergeCell ref="A4:A6"/>
    <mergeCell ref="B4:B6"/>
    <mergeCell ref="F4:F6"/>
    <mergeCell ref="G4:G6"/>
    <mergeCell ref="K4:K6"/>
    <mergeCell ref="L4:L6"/>
  </mergeCells>
  <pageMargins left="0.70000000000000007" right="0.70000000000000007" top="0.75" bottom="0.75" header="0.30000000000000004" footer="0.30000000000000004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R27"/>
  <sheetViews>
    <sheetView workbookViewId="0">
      <selection activeCell="T23" sqref="T23"/>
    </sheetView>
  </sheetViews>
  <sheetFormatPr defaultRowHeight="15" x14ac:dyDescent="0.25"/>
  <cols>
    <col min="1" max="1" width="4.5703125" customWidth="1"/>
    <col min="2" max="2" width="27.85546875" customWidth="1"/>
    <col min="3" max="3" width="8.85546875" customWidth="1"/>
    <col min="4" max="4" width="8" customWidth="1"/>
    <col min="5" max="5" width="8.140625" customWidth="1"/>
    <col min="6" max="6" width="9.85546875" customWidth="1"/>
    <col min="7" max="7" width="9" customWidth="1"/>
    <col min="8" max="8" width="8.42578125" customWidth="1"/>
    <col min="9" max="9" width="8.7109375" customWidth="1"/>
    <col min="10" max="10" width="9.7109375" customWidth="1"/>
    <col min="11" max="11" width="8.7109375" customWidth="1"/>
    <col min="12" max="12" width="8.28515625" customWidth="1"/>
    <col min="13" max="13" width="8.5703125" customWidth="1"/>
    <col min="14" max="14" width="9.7109375" customWidth="1"/>
    <col min="15" max="15" width="8.7109375" customWidth="1"/>
    <col min="16" max="17" width="8.5703125" customWidth="1"/>
    <col min="18" max="18" width="9.7109375" customWidth="1"/>
  </cols>
  <sheetData>
    <row r="2" spans="1:18" ht="15.75" x14ac:dyDescent="0.25">
      <c r="A2" s="139" t="s">
        <v>89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</row>
    <row r="4" spans="1:18" ht="20.25" customHeight="1" x14ac:dyDescent="0.25">
      <c r="A4" s="96" t="s">
        <v>0</v>
      </c>
      <c r="B4" s="96" t="s">
        <v>1</v>
      </c>
      <c r="C4" s="99" t="s">
        <v>50</v>
      </c>
      <c r="D4" s="100"/>
      <c r="E4" s="100"/>
      <c r="F4" s="101"/>
      <c r="G4" s="99" t="s">
        <v>4</v>
      </c>
      <c r="H4" s="100"/>
      <c r="I4" s="100"/>
      <c r="J4" s="100"/>
      <c r="K4" s="130" t="s">
        <v>47</v>
      </c>
      <c r="L4" s="131"/>
      <c r="M4" s="131"/>
      <c r="N4" s="128"/>
      <c r="O4" s="130" t="s">
        <v>48</v>
      </c>
      <c r="P4" s="131"/>
      <c r="Q4" s="131"/>
      <c r="R4" s="128"/>
    </row>
    <row r="5" spans="1:18" ht="15" hidden="1" customHeight="1" x14ac:dyDescent="0.25">
      <c r="A5" s="97"/>
      <c r="B5" s="97"/>
      <c r="C5" s="143"/>
      <c r="D5" s="144"/>
      <c r="E5" s="144"/>
      <c r="F5" s="145"/>
      <c r="G5" s="102"/>
      <c r="H5" s="103"/>
      <c r="I5" s="103"/>
      <c r="J5" s="103"/>
      <c r="K5" s="132"/>
      <c r="L5" s="133"/>
      <c r="M5" s="133"/>
      <c r="N5" s="129"/>
      <c r="O5" s="132"/>
      <c r="P5" s="133"/>
      <c r="Q5" s="133"/>
      <c r="R5" s="129"/>
    </row>
    <row r="6" spans="1:18" ht="15.75" customHeight="1" x14ac:dyDescent="0.25">
      <c r="A6" s="97"/>
      <c r="B6" s="143"/>
      <c r="C6" s="126" t="s">
        <v>90</v>
      </c>
      <c r="D6" s="140"/>
      <c r="E6" s="141" t="s">
        <v>45</v>
      </c>
      <c r="F6" s="113" t="s">
        <v>46</v>
      </c>
      <c r="G6" s="126" t="s">
        <v>90</v>
      </c>
      <c r="H6" s="140"/>
      <c r="I6" s="141" t="s">
        <v>45</v>
      </c>
      <c r="J6" s="113" t="s">
        <v>46</v>
      </c>
      <c r="K6" s="126" t="s">
        <v>90</v>
      </c>
      <c r="L6" s="127"/>
      <c r="M6" s="128" t="s">
        <v>45</v>
      </c>
      <c r="N6" s="113" t="s">
        <v>46</v>
      </c>
      <c r="O6" s="113" t="s">
        <v>90</v>
      </c>
      <c r="P6" s="113"/>
      <c r="Q6" s="113" t="s">
        <v>45</v>
      </c>
      <c r="R6" s="113" t="s">
        <v>46</v>
      </c>
    </row>
    <row r="7" spans="1:18" ht="15.75" x14ac:dyDescent="0.25">
      <c r="A7" s="98"/>
      <c r="B7" s="98"/>
      <c r="C7" s="11" t="s">
        <v>43</v>
      </c>
      <c r="D7" s="19" t="s">
        <v>44</v>
      </c>
      <c r="E7" s="142"/>
      <c r="F7" s="113"/>
      <c r="G7" s="11" t="s">
        <v>43</v>
      </c>
      <c r="H7" s="19" t="s">
        <v>44</v>
      </c>
      <c r="I7" s="142"/>
      <c r="J7" s="113"/>
      <c r="K7" s="19" t="s">
        <v>43</v>
      </c>
      <c r="L7" s="12" t="s">
        <v>44</v>
      </c>
      <c r="M7" s="129"/>
      <c r="N7" s="113"/>
      <c r="O7" s="12" t="s">
        <v>43</v>
      </c>
      <c r="P7" s="12" t="s">
        <v>44</v>
      </c>
      <c r="Q7" s="113"/>
      <c r="R7" s="113"/>
    </row>
    <row r="8" spans="1:18" ht="15.75" x14ac:dyDescent="0.25">
      <c r="A8" s="136" t="s">
        <v>8</v>
      </c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8"/>
    </row>
    <row r="9" spans="1:18" ht="15" customHeight="1" x14ac:dyDescent="0.25">
      <c r="A9" s="15" t="s">
        <v>9</v>
      </c>
      <c r="B9" s="18" t="s">
        <v>10</v>
      </c>
      <c r="C9" s="15">
        <v>5061</v>
      </c>
      <c r="D9" s="72">
        <f>C9/22199*100</f>
        <v>22.798324248840039</v>
      </c>
      <c r="E9" s="15">
        <v>6045</v>
      </c>
      <c r="F9" s="16">
        <f t="shared" ref="F9:F15" si="0">C9-E9</f>
        <v>-984</v>
      </c>
      <c r="G9" s="45">
        <v>715</v>
      </c>
      <c r="H9" s="20">
        <f>G9/5574*100</f>
        <v>12.827412988876929</v>
      </c>
      <c r="I9" s="45">
        <v>1502</v>
      </c>
      <c r="J9" s="45">
        <f t="shared" ref="J9:J15" si="1">G9-I9</f>
        <v>-787</v>
      </c>
      <c r="K9" s="45">
        <v>3584</v>
      </c>
      <c r="L9" s="20">
        <f>K9/16625*100</f>
        <v>21.557894736842105</v>
      </c>
      <c r="M9" s="45">
        <f>3705+1274</f>
        <v>4979</v>
      </c>
      <c r="N9" s="55">
        <f>K9-M9</f>
        <v>-1395</v>
      </c>
      <c r="O9" s="56" t="s">
        <v>12</v>
      </c>
      <c r="P9" s="73" t="s">
        <v>12</v>
      </c>
      <c r="Q9" s="56" t="s">
        <v>12</v>
      </c>
      <c r="R9" s="56" t="s">
        <v>12</v>
      </c>
    </row>
    <row r="10" spans="1:18" ht="14.25" customHeight="1" x14ac:dyDescent="0.25">
      <c r="A10" s="15" t="s">
        <v>13</v>
      </c>
      <c r="B10" s="18" t="s">
        <v>14</v>
      </c>
      <c r="C10" s="15">
        <v>4040</v>
      </c>
      <c r="D10" s="20">
        <f>C10/10786*100</f>
        <v>37.455961431485257</v>
      </c>
      <c r="E10" s="15">
        <v>4436</v>
      </c>
      <c r="F10" s="16">
        <f t="shared" si="0"/>
        <v>-396</v>
      </c>
      <c r="G10" s="45">
        <v>1578</v>
      </c>
      <c r="H10" s="20">
        <f>G10/3305*100</f>
        <v>47.745839636913765</v>
      </c>
      <c r="I10" s="45">
        <v>1684</v>
      </c>
      <c r="J10" s="45">
        <f t="shared" si="1"/>
        <v>-106</v>
      </c>
      <c r="K10" s="45">
        <v>278</v>
      </c>
      <c r="L10" s="20">
        <f>K10/625*100</f>
        <v>44.48</v>
      </c>
      <c r="M10" s="45">
        <v>367</v>
      </c>
      <c r="N10" s="55">
        <f>K10-M10</f>
        <v>-89</v>
      </c>
      <c r="O10" s="55">
        <v>2184</v>
      </c>
      <c r="P10" s="73">
        <f>O10/6856*100</f>
        <v>31.855309218203033</v>
      </c>
      <c r="Q10" s="56">
        <v>2388</v>
      </c>
      <c r="R10" s="55">
        <v>2385</v>
      </c>
    </row>
    <row r="11" spans="1:18" ht="15" customHeight="1" x14ac:dyDescent="0.25">
      <c r="A11" s="15" t="s">
        <v>15</v>
      </c>
      <c r="B11" s="18" t="s">
        <v>16</v>
      </c>
      <c r="C11" s="15">
        <v>2417</v>
      </c>
      <c r="D11" s="20">
        <f>C11/7874*100</f>
        <v>30.695961391922783</v>
      </c>
      <c r="E11" s="15">
        <v>2710</v>
      </c>
      <c r="F11" s="16">
        <f t="shared" si="0"/>
        <v>-293</v>
      </c>
      <c r="G11" s="45">
        <v>1327</v>
      </c>
      <c r="H11" s="20">
        <f>G11/3810*100</f>
        <v>34.829396325459314</v>
      </c>
      <c r="I11" s="45">
        <v>1494</v>
      </c>
      <c r="J11" s="45">
        <f t="shared" si="1"/>
        <v>-167</v>
      </c>
      <c r="K11" s="45">
        <v>149</v>
      </c>
      <c r="L11" s="20">
        <f>K11/543*100</f>
        <v>27.440147329650095</v>
      </c>
      <c r="M11" s="45">
        <v>168</v>
      </c>
      <c r="N11" s="55">
        <f>K11-M11</f>
        <v>-19</v>
      </c>
      <c r="O11" s="55">
        <v>941</v>
      </c>
      <c r="P11" s="73">
        <f>O11/3521*100</f>
        <v>26.725362113036073</v>
      </c>
      <c r="Q11" s="56">
        <v>1061</v>
      </c>
      <c r="R11" s="55">
        <v>1048</v>
      </c>
    </row>
    <row r="12" spans="1:18" ht="14.25" customHeight="1" x14ac:dyDescent="0.25">
      <c r="A12" s="15" t="s">
        <v>17</v>
      </c>
      <c r="B12" s="18" t="s">
        <v>18</v>
      </c>
      <c r="C12" s="15">
        <v>96</v>
      </c>
      <c r="D12" s="20">
        <f>C12/1418*100</f>
        <v>6.7700987306064881</v>
      </c>
      <c r="E12" s="15">
        <v>119</v>
      </c>
      <c r="F12" s="16">
        <f t="shared" si="0"/>
        <v>-23</v>
      </c>
      <c r="G12" s="45">
        <v>72</v>
      </c>
      <c r="H12" s="20">
        <f>G12/800*100</f>
        <v>9</v>
      </c>
      <c r="I12" s="45">
        <v>78</v>
      </c>
      <c r="J12" s="45">
        <f t="shared" si="1"/>
        <v>-6</v>
      </c>
      <c r="K12" s="45">
        <v>24</v>
      </c>
      <c r="L12" s="20">
        <f>K12/618*100</f>
        <v>3.8834951456310676</v>
      </c>
      <c r="M12" s="45">
        <v>41</v>
      </c>
      <c r="N12" s="55">
        <f>K12-M12</f>
        <v>-17</v>
      </c>
      <c r="O12" s="55" t="s">
        <v>12</v>
      </c>
      <c r="P12" s="73" t="s">
        <v>12</v>
      </c>
      <c r="Q12" s="56" t="s">
        <v>12</v>
      </c>
      <c r="R12" s="55" t="s">
        <v>12</v>
      </c>
    </row>
    <row r="13" spans="1:18" ht="15" customHeight="1" x14ac:dyDescent="0.25">
      <c r="A13" s="15" t="s">
        <v>19</v>
      </c>
      <c r="B13" s="18" t="s">
        <v>20</v>
      </c>
      <c r="C13" s="15">
        <v>1075</v>
      </c>
      <c r="D13" s="72">
        <f>C13/5422*100</f>
        <v>19.826632239026189</v>
      </c>
      <c r="E13" s="15">
        <v>1171</v>
      </c>
      <c r="F13" s="16">
        <f t="shared" si="0"/>
        <v>-96</v>
      </c>
      <c r="G13" s="45">
        <v>1075</v>
      </c>
      <c r="H13" s="20">
        <f>G13/5422*100</f>
        <v>19.826632239026189</v>
      </c>
      <c r="I13" s="45">
        <v>1171</v>
      </c>
      <c r="J13" s="45">
        <f t="shared" si="1"/>
        <v>-96</v>
      </c>
      <c r="K13" s="45" t="s">
        <v>12</v>
      </c>
      <c r="L13" s="20" t="s">
        <v>12</v>
      </c>
      <c r="M13" s="45" t="s">
        <v>12</v>
      </c>
      <c r="N13" s="56" t="s">
        <v>12</v>
      </c>
      <c r="O13" s="55" t="s">
        <v>12</v>
      </c>
      <c r="P13" s="73" t="s">
        <v>12</v>
      </c>
      <c r="Q13" s="56" t="s">
        <v>12</v>
      </c>
      <c r="R13" s="55" t="s">
        <v>12</v>
      </c>
    </row>
    <row r="14" spans="1:18" ht="15" customHeight="1" x14ac:dyDescent="0.25">
      <c r="A14" s="15" t="s">
        <v>21</v>
      </c>
      <c r="B14" s="18" t="s">
        <v>22</v>
      </c>
      <c r="C14" s="15">
        <v>1007</v>
      </c>
      <c r="D14" s="20">
        <f>C14/4091*100</f>
        <v>24.615008555365435</v>
      </c>
      <c r="E14" s="15">
        <v>1149</v>
      </c>
      <c r="F14" s="16">
        <f t="shared" si="0"/>
        <v>-142</v>
      </c>
      <c r="G14" s="45">
        <v>477</v>
      </c>
      <c r="H14" s="20">
        <f>G14/1453*100</f>
        <v>32.82863041982106</v>
      </c>
      <c r="I14" s="45">
        <v>561</v>
      </c>
      <c r="J14" s="45">
        <f t="shared" si="1"/>
        <v>-84</v>
      </c>
      <c r="K14" s="45">
        <v>8</v>
      </c>
      <c r="L14" s="20">
        <f>K14/209*100</f>
        <v>3.8277511961722488</v>
      </c>
      <c r="M14" s="45">
        <v>15</v>
      </c>
      <c r="N14" s="55">
        <f>K14-M14</f>
        <v>-7</v>
      </c>
      <c r="O14" s="63">
        <v>522</v>
      </c>
      <c r="P14" s="73">
        <f>O14/2429*100</f>
        <v>21.490325236722931</v>
      </c>
      <c r="Q14" s="56">
        <v>703</v>
      </c>
      <c r="R14" s="55">
        <v>573</v>
      </c>
    </row>
    <row r="15" spans="1:18" ht="15.75" x14ac:dyDescent="0.25">
      <c r="A15" s="15" t="s">
        <v>23</v>
      </c>
      <c r="B15" s="18" t="s">
        <v>24</v>
      </c>
      <c r="C15" s="15">
        <v>2586</v>
      </c>
      <c r="D15" s="20">
        <f>C15/8024*100</f>
        <v>32.228315054835491</v>
      </c>
      <c r="E15" s="15">
        <v>2914</v>
      </c>
      <c r="F15" s="16">
        <f t="shared" si="0"/>
        <v>-328</v>
      </c>
      <c r="G15" s="45">
        <v>1007</v>
      </c>
      <c r="H15" s="20">
        <f>G15/2845*100</f>
        <v>35.395430579964845</v>
      </c>
      <c r="I15" s="45">
        <v>1126</v>
      </c>
      <c r="J15" s="45">
        <f t="shared" si="1"/>
        <v>-119</v>
      </c>
      <c r="K15" s="45" t="s">
        <v>12</v>
      </c>
      <c r="L15" s="20" t="s">
        <v>12</v>
      </c>
      <c r="M15" s="45" t="s">
        <v>12</v>
      </c>
      <c r="N15" s="56" t="s">
        <v>12</v>
      </c>
      <c r="O15" s="55">
        <v>1579</v>
      </c>
      <c r="P15" s="73">
        <f>O15/5179*100</f>
        <v>30.488511295616917</v>
      </c>
      <c r="Q15" s="56">
        <v>1924</v>
      </c>
      <c r="R15" s="55">
        <v>1788</v>
      </c>
    </row>
    <row r="16" spans="1:18" ht="15.75" x14ac:dyDescent="0.25">
      <c r="A16" s="110" t="s">
        <v>31</v>
      </c>
      <c r="B16" s="111"/>
      <c r="C16" s="48">
        <f t="shared" ref="C16:R16" si="2">SUM(C9:C15)</f>
        <v>16282</v>
      </c>
      <c r="D16" s="39">
        <f t="shared" si="2"/>
        <v>174.39030165208169</v>
      </c>
      <c r="E16" s="54">
        <f t="shared" si="2"/>
        <v>18544</v>
      </c>
      <c r="F16" s="54">
        <f t="shared" si="2"/>
        <v>-2262</v>
      </c>
      <c r="G16" s="21">
        <f t="shared" si="2"/>
        <v>6251</v>
      </c>
      <c r="H16" s="39">
        <f t="shared" si="2"/>
        <v>192.4533421900621</v>
      </c>
      <c r="I16" s="21">
        <f t="shared" si="2"/>
        <v>7616</v>
      </c>
      <c r="J16" s="21">
        <f t="shared" si="2"/>
        <v>-1365</v>
      </c>
      <c r="K16" s="21">
        <f t="shared" si="2"/>
        <v>4043</v>
      </c>
      <c r="L16" s="39">
        <f t="shared" si="2"/>
        <v>101.18928840829552</v>
      </c>
      <c r="M16" s="57">
        <f t="shared" si="2"/>
        <v>5570</v>
      </c>
      <c r="N16" s="58">
        <f t="shared" si="2"/>
        <v>-1527</v>
      </c>
      <c r="O16" s="58">
        <f t="shared" si="2"/>
        <v>5226</v>
      </c>
      <c r="P16" s="74">
        <f t="shared" si="2"/>
        <v>110.55950786357894</v>
      </c>
      <c r="Q16" s="59">
        <f t="shared" si="2"/>
        <v>6076</v>
      </c>
      <c r="R16" s="58">
        <f t="shared" si="2"/>
        <v>5794</v>
      </c>
    </row>
    <row r="17" spans="1:18" ht="15.75" x14ac:dyDescent="0.25">
      <c r="A17" s="134" t="s">
        <v>33</v>
      </c>
      <c r="B17" s="135"/>
      <c r="C17" s="49">
        <f t="shared" ref="C17:J17" si="3">C16/7</f>
        <v>2326</v>
      </c>
      <c r="D17" s="39">
        <f t="shared" si="3"/>
        <v>24.912900236011669</v>
      </c>
      <c r="E17" s="21">
        <f t="shared" si="3"/>
        <v>2649.1428571428573</v>
      </c>
      <c r="F17" s="21">
        <f t="shared" si="3"/>
        <v>-323.14285714285717</v>
      </c>
      <c r="G17" s="21">
        <f t="shared" si="3"/>
        <v>893</v>
      </c>
      <c r="H17" s="39">
        <f t="shared" si="3"/>
        <v>27.493334598580301</v>
      </c>
      <c r="I17" s="21">
        <f t="shared" si="3"/>
        <v>1088</v>
      </c>
      <c r="J17" s="21">
        <f t="shared" si="3"/>
        <v>-195</v>
      </c>
      <c r="K17" s="21">
        <f>K16/5</f>
        <v>808.6</v>
      </c>
      <c r="L17" s="39">
        <f>L16/5</f>
        <v>20.237857681659104</v>
      </c>
      <c r="M17" s="57">
        <f>M16/5</f>
        <v>1114</v>
      </c>
      <c r="N17" s="59">
        <f>N16/5</f>
        <v>-305.39999999999998</v>
      </c>
      <c r="O17" s="58">
        <f>O16/4</f>
        <v>1306.5</v>
      </c>
      <c r="P17" s="74">
        <f>P16/4</f>
        <v>27.639876965894736</v>
      </c>
      <c r="Q17" s="59">
        <f>Q16/4</f>
        <v>1519</v>
      </c>
      <c r="R17" s="58">
        <f>R16/4</f>
        <v>1448.5</v>
      </c>
    </row>
    <row r="18" spans="1:18" ht="15.75" x14ac:dyDescent="0.25">
      <c r="A18" s="136" t="s">
        <v>25</v>
      </c>
      <c r="B18" s="137"/>
      <c r="C18" s="137"/>
      <c r="D18" s="137"/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8"/>
    </row>
    <row r="19" spans="1:18" ht="15" customHeight="1" x14ac:dyDescent="0.25">
      <c r="A19" s="15" t="s">
        <v>9</v>
      </c>
      <c r="B19" s="18" t="s">
        <v>26</v>
      </c>
      <c r="C19" s="15">
        <v>1282</v>
      </c>
      <c r="D19" s="20">
        <f>C19/5762*100</f>
        <v>22.249219021173204</v>
      </c>
      <c r="E19" s="15">
        <v>1428</v>
      </c>
      <c r="F19" s="16">
        <f>C19-E19</f>
        <v>-146</v>
      </c>
      <c r="G19" s="45">
        <v>407</v>
      </c>
      <c r="H19" s="20">
        <f>G19/2150*100</f>
        <v>18.930232558139533</v>
      </c>
      <c r="I19" s="45">
        <v>396</v>
      </c>
      <c r="J19" s="45">
        <f>G19-I19</f>
        <v>11</v>
      </c>
      <c r="K19" s="45">
        <v>73</v>
      </c>
      <c r="L19" s="20">
        <f>K19/289*100</f>
        <v>25.259515570934255</v>
      </c>
      <c r="M19" s="45">
        <v>88</v>
      </c>
      <c r="N19" s="62">
        <f>K19-M19</f>
        <v>-15</v>
      </c>
      <c r="O19" s="55">
        <v>802</v>
      </c>
      <c r="P19" s="73">
        <f>O19/3323*100</f>
        <v>24.13481793560036</v>
      </c>
      <c r="Q19" s="55">
        <v>1164</v>
      </c>
      <c r="R19" s="55">
        <v>944</v>
      </c>
    </row>
    <row r="20" spans="1:18" ht="15.75" customHeight="1" x14ac:dyDescent="0.25">
      <c r="A20" s="15" t="s">
        <v>13</v>
      </c>
      <c r="B20" s="18" t="s">
        <v>27</v>
      </c>
      <c r="C20" s="15">
        <v>425</v>
      </c>
      <c r="D20" s="20">
        <f>C20/1566*100</f>
        <v>27.139208173690932</v>
      </c>
      <c r="E20" s="15">
        <v>565</v>
      </c>
      <c r="F20" s="16">
        <f>C20-E20</f>
        <v>-140</v>
      </c>
      <c r="G20" s="45">
        <v>146</v>
      </c>
      <c r="H20" s="20">
        <f>G20/554*100</f>
        <v>26.353790613718413</v>
      </c>
      <c r="I20" s="45">
        <v>204</v>
      </c>
      <c r="J20" s="45">
        <f>G20-I20</f>
        <v>-58</v>
      </c>
      <c r="K20" s="45" t="s">
        <v>12</v>
      </c>
      <c r="L20" s="20" t="s">
        <v>12</v>
      </c>
      <c r="M20" s="45" t="s">
        <v>12</v>
      </c>
      <c r="N20" s="62" t="s">
        <v>12</v>
      </c>
      <c r="O20" s="55">
        <v>279</v>
      </c>
      <c r="P20" s="73">
        <f>O20/1012*100</f>
        <v>27.569169960474309</v>
      </c>
      <c r="Q20" s="55">
        <v>364</v>
      </c>
      <c r="R20" s="55">
        <v>361</v>
      </c>
    </row>
    <row r="21" spans="1:18" ht="15.75" x14ac:dyDescent="0.25">
      <c r="A21" s="15" t="s">
        <v>15</v>
      </c>
      <c r="B21" s="18" t="s">
        <v>28</v>
      </c>
      <c r="C21" s="15">
        <v>1601</v>
      </c>
      <c r="D21" s="20">
        <f>C21/4754*100</f>
        <v>33.676903660075723</v>
      </c>
      <c r="E21" s="15">
        <v>1985</v>
      </c>
      <c r="F21" s="16">
        <f>C21-E21</f>
        <v>-384</v>
      </c>
      <c r="G21" s="45">
        <v>590</v>
      </c>
      <c r="H21" s="20">
        <f>G21/1498*100</f>
        <v>39.385847797062752</v>
      </c>
      <c r="I21" s="45">
        <v>729</v>
      </c>
      <c r="J21" s="45">
        <f>G21-I21</f>
        <v>-139</v>
      </c>
      <c r="K21" s="45" t="s">
        <v>12</v>
      </c>
      <c r="L21" s="20" t="s">
        <v>12</v>
      </c>
      <c r="M21" s="45" t="s">
        <v>12</v>
      </c>
      <c r="N21" s="62" t="s">
        <v>12</v>
      </c>
      <c r="O21" s="55">
        <v>1011</v>
      </c>
      <c r="P21" s="73">
        <f>O21/3256*100</f>
        <v>31.05036855036855</v>
      </c>
      <c r="Q21" s="55">
        <v>1439</v>
      </c>
      <c r="R21" s="55">
        <v>1256</v>
      </c>
    </row>
    <row r="22" spans="1:18" ht="14.25" customHeight="1" x14ac:dyDescent="0.25">
      <c r="A22" s="15" t="s">
        <v>17</v>
      </c>
      <c r="B22" s="18" t="s">
        <v>29</v>
      </c>
      <c r="C22" s="15">
        <v>2540</v>
      </c>
      <c r="D22" s="20">
        <f>C22/8891*100</f>
        <v>28.568215048925882</v>
      </c>
      <c r="E22" s="15">
        <v>2825</v>
      </c>
      <c r="F22" s="16">
        <f>C22-E22</f>
        <v>-285</v>
      </c>
      <c r="G22" s="45">
        <v>1067</v>
      </c>
      <c r="H22" s="20">
        <f>G22/3300*100</f>
        <v>32.333333333333329</v>
      </c>
      <c r="I22" s="45">
        <v>1273</v>
      </c>
      <c r="J22" s="45">
        <f>G22-I22</f>
        <v>-206</v>
      </c>
      <c r="K22" s="45">
        <v>380</v>
      </c>
      <c r="L22" s="20">
        <f>K22/959*100</f>
        <v>39.624608967674661</v>
      </c>
      <c r="M22" s="45">
        <v>330</v>
      </c>
      <c r="N22" s="62">
        <f>K22-M22</f>
        <v>50</v>
      </c>
      <c r="O22" s="55">
        <v>1093</v>
      </c>
      <c r="P22" s="73">
        <f>O22/4632*100</f>
        <v>23.596718480138168</v>
      </c>
      <c r="Q22" s="55">
        <v>1242</v>
      </c>
      <c r="R22" s="55">
        <v>1222</v>
      </c>
    </row>
    <row r="23" spans="1:18" ht="15.75" x14ac:dyDescent="0.25">
      <c r="A23" s="110" t="s">
        <v>31</v>
      </c>
      <c r="B23" s="111"/>
      <c r="C23" s="48">
        <f t="shared" ref="C23:R23" si="4">SUM(C19:C22)</f>
        <v>5848</v>
      </c>
      <c r="D23" s="39">
        <f t="shared" si="4"/>
        <v>111.63354590386574</v>
      </c>
      <c r="E23" s="54">
        <f t="shared" si="4"/>
        <v>6803</v>
      </c>
      <c r="F23" s="54">
        <f t="shared" si="4"/>
        <v>-955</v>
      </c>
      <c r="G23" s="21">
        <f t="shared" si="4"/>
        <v>2210</v>
      </c>
      <c r="H23" s="21">
        <f t="shared" si="4"/>
        <v>117.00320430225402</v>
      </c>
      <c r="I23" s="21">
        <f t="shared" si="4"/>
        <v>2602</v>
      </c>
      <c r="J23" s="21">
        <f t="shared" si="4"/>
        <v>-392</v>
      </c>
      <c r="K23" s="21">
        <f t="shared" si="4"/>
        <v>453</v>
      </c>
      <c r="L23" s="39">
        <f t="shared" si="4"/>
        <v>64.884124538608916</v>
      </c>
      <c r="M23" s="57">
        <f t="shared" si="4"/>
        <v>418</v>
      </c>
      <c r="N23" s="21">
        <f t="shared" si="4"/>
        <v>35</v>
      </c>
      <c r="O23" s="58">
        <f>SUM(O19:O22)</f>
        <v>3185</v>
      </c>
      <c r="P23" s="74">
        <f t="shared" si="4"/>
        <v>106.35107492658138</v>
      </c>
      <c r="Q23" s="58">
        <f t="shared" si="4"/>
        <v>4209</v>
      </c>
      <c r="R23" s="58">
        <f t="shared" si="4"/>
        <v>3783</v>
      </c>
    </row>
    <row r="24" spans="1:18" ht="15.75" x14ac:dyDescent="0.25">
      <c r="A24" s="134" t="s">
        <v>33</v>
      </c>
      <c r="B24" s="135"/>
      <c r="C24" s="49">
        <f t="shared" ref="C24:J24" si="5">C23/4</f>
        <v>1462</v>
      </c>
      <c r="D24" s="39">
        <f t="shared" si="5"/>
        <v>27.908386475966434</v>
      </c>
      <c r="E24" s="21">
        <f t="shared" si="5"/>
        <v>1700.75</v>
      </c>
      <c r="F24" s="21">
        <f t="shared" si="5"/>
        <v>-238.75</v>
      </c>
      <c r="G24" s="21">
        <f t="shared" si="5"/>
        <v>552.5</v>
      </c>
      <c r="H24" s="21">
        <f t="shared" si="5"/>
        <v>29.250801075563505</v>
      </c>
      <c r="I24" s="21">
        <f t="shared" si="5"/>
        <v>650.5</v>
      </c>
      <c r="J24" s="21">
        <f t="shared" si="5"/>
        <v>-98</v>
      </c>
      <c r="K24" s="21">
        <f>K23/2</f>
        <v>226.5</v>
      </c>
      <c r="L24" s="39">
        <f>L23/2</f>
        <v>32.442062269304458</v>
      </c>
      <c r="M24" s="57">
        <f>M23/2</f>
        <v>209</v>
      </c>
      <c r="N24" s="21">
        <f>N23/2</f>
        <v>17.5</v>
      </c>
      <c r="O24" s="58">
        <f>O23/4</f>
        <v>796.25</v>
      </c>
      <c r="P24" s="74">
        <f>P23/4</f>
        <v>26.587768731645344</v>
      </c>
      <c r="Q24" s="58">
        <f>Q23/4</f>
        <v>1052.25</v>
      </c>
      <c r="R24" s="58">
        <f>R23/4</f>
        <v>945.75</v>
      </c>
    </row>
    <row r="25" spans="1:18" ht="27.75" customHeight="1" x14ac:dyDescent="0.25">
      <c r="A25" s="106" t="s">
        <v>30</v>
      </c>
      <c r="B25" s="107"/>
      <c r="C25" s="50">
        <f t="shared" ref="C25:R25" si="6">SUM(C16,C23)</f>
        <v>22130</v>
      </c>
      <c r="D25" s="66">
        <f t="shared" si="6"/>
        <v>286.02384755594744</v>
      </c>
      <c r="E25" s="50">
        <f t="shared" si="6"/>
        <v>25347</v>
      </c>
      <c r="F25" s="50">
        <f t="shared" si="6"/>
        <v>-3217</v>
      </c>
      <c r="G25" s="51">
        <f t="shared" si="6"/>
        <v>8461</v>
      </c>
      <c r="H25" s="66">
        <f t="shared" si="6"/>
        <v>309.45654649231614</v>
      </c>
      <c r="I25" s="51">
        <f t="shared" si="6"/>
        <v>10218</v>
      </c>
      <c r="J25" s="51">
        <f t="shared" si="6"/>
        <v>-1757</v>
      </c>
      <c r="K25" s="51">
        <f t="shared" si="6"/>
        <v>4496</v>
      </c>
      <c r="L25" s="66">
        <f t="shared" si="6"/>
        <v>166.07341294690445</v>
      </c>
      <c r="M25" s="60">
        <f t="shared" si="6"/>
        <v>5988</v>
      </c>
      <c r="N25" s="51">
        <f t="shared" si="6"/>
        <v>-1492</v>
      </c>
      <c r="O25" s="61">
        <f t="shared" si="6"/>
        <v>8411</v>
      </c>
      <c r="P25" s="75">
        <f t="shared" si="6"/>
        <v>216.91058279016033</v>
      </c>
      <c r="Q25" s="61">
        <f t="shared" si="6"/>
        <v>10285</v>
      </c>
      <c r="R25" s="61">
        <f t="shared" si="6"/>
        <v>9577</v>
      </c>
    </row>
    <row r="26" spans="1:18" ht="34.5" customHeight="1" x14ac:dyDescent="0.25">
      <c r="A26" s="106" t="s">
        <v>32</v>
      </c>
      <c r="B26" s="107"/>
      <c r="C26" s="51">
        <f t="shared" ref="C26:J26" si="7">C25/11</f>
        <v>2011.8181818181818</v>
      </c>
      <c r="D26" s="66">
        <f t="shared" si="7"/>
        <v>26.002167959631585</v>
      </c>
      <c r="E26" s="51">
        <f t="shared" si="7"/>
        <v>2304.2727272727275</v>
      </c>
      <c r="F26" s="51">
        <f t="shared" si="7"/>
        <v>-292.45454545454544</v>
      </c>
      <c r="G26" s="51">
        <f t="shared" si="7"/>
        <v>769.18181818181813</v>
      </c>
      <c r="H26" s="66">
        <f t="shared" si="7"/>
        <v>28.132413317483284</v>
      </c>
      <c r="I26" s="51">
        <f t="shared" si="7"/>
        <v>928.90909090909088</v>
      </c>
      <c r="J26" s="51">
        <f t="shared" si="7"/>
        <v>-159.72727272727272</v>
      </c>
      <c r="K26" s="51">
        <f>K25/7</f>
        <v>642.28571428571433</v>
      </c>
      <c r="L26" s="66">
        <f>L25/7</f>
        <v>23.724773278129209</v>
      </c>
      <c r="M26" s="60">
        <f>M25/7</f>
        <v>855.42857142857144</v>
      </c>
      <c r="N26" s="51">
        <f>N25/7</f>
        <v>-213.14285714285714</v>
      </c>
      <c r="O26" s="61">
        <f>O25/8</f>
        <v>1051.375</v>
      </c>
      <c r="P26" s="75">
        <f>P25/8</f>
        <v>27.113822848770042</v>
      </c>
      <c r="Q26" s="61">
        <f>Q25/8</f>
        <v>1285.625</v>
      </c>
      <c r="R26" s="61">
        <f>R25/8</f>
        <v>1197.125</v>
      </c>
    </row>
    <row r="27" spans="1:18" ht="15.75" x14ac:dyDescent="0.25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</row>
  </sheetData>
  <mergeCells count="27">
    <mergeCell ref="A2:R2"/>
    <mergeCell ref="A16:B16"/>
    <mergeCell ref="A17:B17"/>
    <mergeCell ref="C6:D6"/>
    <mergeCell ref="E6:E7"/>
    <mergeCell ref="F6:F7"/>
    <mergeCell ref="A4:A7"/>
    <mergeCell ref="B4:B7"/>
    <mergeCell ref="C4:F5"/>
    <mergeCell ref="O4:R5"/>
    <mergeCell ref="O6:P6"/>
    <mergeCell ref="Q6:Q7"/>
    <mergeCell ref="R6:R7"/>
    <mergeCell ref="A8:R8"/>
    <mergeCell ref="G6:H6"/>
    <mergeCell ref="I6:I7"/>
    <mergeCell ref="A23:B23"/>
    <mergeCell ref="A24:B24"/>
    <mergeCell ref="A25:B25"/>
    <mergeCell ref="A26:B26"/>
    <mergeCell ref="A18:R18"/>
    <mergeCell ref="J6:J7"/>
    <mergeCell ref="K6:L6"/>
    <mergeCell ref="M6:M7"/>
    <mergeCell ref="N6:N7"/>
    <mergeCell ref="K4:N5"/>
    <mergeCell ref="G4:J5"/>
  </mergeCells>
  <pageMargins left="0.70000000000000007" right="0.70000000000000007" top="0.75" bottom="0.75" header="0.30000000000000004" footer="0.30000000000000004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Q25"/>
  <sheetViews>
    <sheetView topLeftCell="A22" workbookViewId="0">
      <selection activeCell="T27" sqref="T27"/>
    </sheetView>
  </sheetViews>
  <sheetFormatPr defaultRowHeight="15" x14ac:dyDescent="0.25"/>
  <cols>
    <col min="1" max="1" width="5.28515625" customWidth="1"/>
    <col min="2" max="2" width="27.28515625" customWidth="1"/>
    <col min="3" max="3" width="23.85546875" customWidth="1"/>
    <col min="4" max="4" width="12.7109375" customWidth="1"/>
    <col min="5" max="5" width="18.140625" customWidth="1"/>
    <col min="6" max="6" width="9.5703125" customWidth="1"/>
    <col min="7" max="7" width="9.7109375" customWidth="1"/>
    <col min="8" max="8" width="7.85546875" customWidth="1"/>
    <col min="9" max="9" width="8.7109375" customWidth="1"/>
    <col min="10" max="10" width="9" customWidth="1"/>
    <col min="11" max="11" width="9.85546875" customWidth="1"/>
    <col min="12" max="13" width="8.42578125" customWidth="1"/>
    <col min="14" max="14" width="9.7109375" customWidth="1"/>
    <col min="15" max="15" width="8.85546875" customWidth="1"/>
    <col min="16" max="16" width="8.7109375" customWidth="1"/>
    <col min="17" max="17" width="9.7109375" customWidth="1"/>
  </cols>
  <sheetData>
    <row r="2" spans="1:17" ht="15.75" x14ac:dyDescent="0.25">
      <c r="A2" s="146" t="s">
        <v>92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</row>
    <row r="4" spans="1:17" ht="17.25" customHeight="1" x14ac:dyDescent="0.25">
      <c r="A4" s="99" t="s">
        <v>0</v>
      </c>
      <c r="B4" s="141" t="s">
        <v>1</v>
      </c>
      <c r="C4" s="100" t="s">
        <v>91</v>
      </c>
      <c r="D4" s="130" t="s">
        <v>50</v>
      </c>
      <c r="E4" s="131"/>
      <c r="F4" s="131"/>
      <c r="G4" s="131"/>
      <c r="H4" s="128"/>
      <c r="I4" s="130" t="s">
        <v>4</v>
      </c>
      <c r="J4" s="131"/>
      <c r="K4" s="128"/>
      <c r="L4" s="130" t="s">
        <v>47</v>
      </c>
      <c r="M4" s="131"/>
      <c r="N4" s="128"/>
      <c r="O4" s="130" t="s">
        <v>48</v>
      </c>
      <c r="P4" s="131"/>
      <c r="Q4" s="128"/>
    </row>
    <row r="5" spans="1:17" ht="15.75" customHeight="1" x14ac:dyDescent="0.25">
      <c r="A5" s="143"/>
      <c r="B5" s="147"/>
      <c r="C5" s="144"/>
      <c r="D5" s="141" t="s">
        <v>93</v>
      </c>
      <c r="E5" s="141" t="s">
        <v>51</v>
      </c>
      <c r="F5" s="141" t="s">
        <v>45</v>
      </c>
      <c r="G5" s="141" t="s">
        <v>52</v>
      </c>
      <c r="H5" s="141" t="s">
        <v>44</v>
      </c>
      <c r="I5" s="141" t="s">
        <v>90</v>
      </c>
      <c r="J5" s="141" t="s">
        <v>45</v>
      </c>
      <c r="K5" s="141" t="s">
        <v>52</v>
      </c>
      <c r="L5" s="141" t="s">
        <v>90</v>
      </c>
      <c r="M5" s="141" t="s">
        <v>45</v>
      </c>
      <c r="N5" s="141" t="s">
        <v>52</v>
      </c>
      <c r="O5" s="141" t="s">
        <v>90</v>
      </c>
      <c r="P5" s="141" t="s">
        <v>45</v>
      </c>
      <c r="Q5" s="141" t="s">
        <v>52</v>
      </c>
    </row>
    <row r="6" spans="1:17" ht="29.25" customHeight="1" x14ac:dyDescent="0.25">
      <c r="A6" s="148"/>
      <c r="B6" s="142"/>
      <c r="C6" s="133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</row>
    <row r="7" spans="1:17" ht="15.75" x14ac:dyDescent="0.25">
      <c r="A7" s="136" t="s">
        <v>8</v>
      </c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23"/>
      <c r="M7" s="23"/>
      <c r="N7" s="23"/>
      <c r="O7" s="23"/>
      <c r="P7" s="23"/>
      <c r="Q7" s="23"/>
    </row>
    <row r="8" spans="1:17" ht="15.95" customHeight="1" x14ac:dyDescent="0.25">
      <c r="A8" s="15" t="s">
        <v>9</v>
      </c>
      <c r="B8" s="18" t="s">
        <v>10</v>
      </c>
      <c r="C8" s="76">
        <v>149116</v>
      </c>
      <c r="D8" s="45">
        <v>360313</v>
      </c>
      <c r="E8" s="70">
        <f t="shared" ref="E8:E14" si="0">D8/C8</f>
        <v>2.4163268864508169</v>
      </c>
      <c r="F8" s="45">
        <v>405588</v>
      </c>
      <c r="G8" s="45">
        <f t="shared" ref="G8:G14" si="1">D8-F8</f>
        <v>-45275</v>
      </c>
      <c r="H8" s="20">
        <f t="shared" ref="H8:H14" si="2">G8/D8*100</f>
        <v>-12.565463916095174</v>
      </c>
      <c r="I8" s="45">
        <v>94834</v>
      </c>
      <c r="J8" s="45">
        <v>114320</v>
      </c>
      <c r="K8" s="78">
        <f t="shared" ref="K8:K14" si="3">I8-J8</f>
        <v>-19486</v>
      </c>
      <c r="L8" s="56">
        <f>254124+11355</f>
        <v>265479</v>
      </c>
      <c r="M8" s="56">
        <f>279337+11931</f>
        <v>291268</v>
      </c>
      <c r="N8" s="56">
        <f>L8-M8</f>
        <v>-25789</v>
      </c>
      <c r="O8" s="56" t="s">
        <v>12</v>
      </c>
      <c r="P8" s="56" t="s">
        <v>12</v>
      </c>
      <c r="Q8" s="56" t="s">
        <v>12</v>
      </c>
    </row>
    <row r="9" spans="1:17" ht="15.95" customHeight="1" x14ac:dyDescent="0.25">
      <c r="A9" s="15" t="s">
        <v>13</v>
      </c>
      <c r="B9" s="18" t="s">
        <v>14</v>
      </c>
      <c r="C9" s="77">
        <v>60124</v>
      </c>
      <c r="D9" s="45">
        <v>151386</v>
      </c>
      <c r="E9" s="20">
        <f t="shared" si="0"/>
        <v>2.5178963475484002</v>
      </c>
      <c r="F9" s="45">
        <v>281102</v>
      </c>
      <c r="G9" s="45">
        <f t="shared" si="1"/>
        <v>-129716</v>
      </c>
      <c r="H9" s="20">
        <f t="shared" si="2"/>
        <v>-85.685598404079627</v>
      </c>
      <c r="I9" s="45">
        <v>31992</v>
      </c>
      <c r="J9" s="45">
        <v>92675</v>
      </c>
      <c r="K9" s="78">
        <f t="shared" si="3"/>
        <v>-60683</v>
      </c>
      <c r="L9" s="56">
        <v>10286</v>
      </c>
      <c r="M9" s="56">
        <v>15507</v>
      </c>
      <c r="N9" s="56">
        <f>L9-M9</f>
        <v>-5221</v>
      </c>
      <c r="O9" s="56">
        <v>109108</v>
      </c>
      <c r="P9" s="56">
        <v>172920</v>
      </c>
      <c r="Q9" s="56">
        <f>O9-P9</f>
        <v>-63812</v>
      </c>
    </row>
    <row r="10" spans="1:17" ht="15.95" customHeight="1" x14ac:dyDescent="0.25">
      <c r="A10" s="15" t="s">
        <v>15</v>
      </c>
      <c r="B10" s="18" t="s">
        <v>16</v>
      </c>
      <c r="C10" s="77">
        <v>37425</v>
      </c>
      <c r="D10" s="45">
        <v>180420</v>
      </c>
      <c r="E10" s="20">
        <f t="shared" si="0"/>
        <v>4.8208416833667336</v>
      </c>
      <c r="F10" s="45">
        <v>221241</v>
      </c>
      <c r="G10" s="45">
        <f t="shared" si="1"/>
        <v>-40821</v>
      </c>
      <c r="H10" s="20">
        <f t="shared" si="2"/>
        <v>-22.625540405719988</v>
      </c>
      <c r="I10" s="45">
        <v>117236</v>
      </c>
      <c r="J10" s="45">
        <v>150857</v>
      </c>
      <c r="K10" s="78">
        <f t="shared" si="3"/>
        <v>-33621</v>
      </c>
      <c r="L10" s="56">
        <v>6980</v>
      </c>
      <c r="M10" s="56">
        <v>8460</v>
      </c>
      <c r="N10" s="56">
        <f>L10-M10</f>
        <v>-1480</v>
      </c>
      <c r="O10" s="56">
        <v>56204</v>
      </c>
      <c r="P10" s="56">
        <v>61924</v>
      </c>
      <c r="Q10" s="56">
        <f>O10-P10</f>
        <v>-5720</v>
      </c>
    </row>
    <row r="11" spans="1:17" ht="15.95" customHeight="1" x14ac:dyDescent="0.25">
      <c r="A11" s="15" t="s">
        <v>17</v>
      </c>
      <c r="B11" s="18" t="s">
        <v>18</v>
      </c>
      <c r="C11" s="77">
        <v>3530</v>
      </c>
      <c r="D11" s="45">
        <v>12148</v>
      </c>
      <c r="E11" s="70">
        <f t="shared" si="0"/>
        <v>3.4413597733711048</v>
      </c>
      <c r="F11" s="45">
        <v>23507</v>
      </c>
      <c r="G11" s="45">
        <f t="shared" si="1"/>
        <v>-11359</v>
      </c>
      <c r="H11" s="20">
        <f t="shared" si="2"/>
        <v>-93.505103720777086</v>
      </c>
      <c r="I11" s="45">
        <v>6080</v>
      </c>
      <c r="J11" s="45">
        <v>10092</v>
      </c>
      <c r="K11" s="78">
        <f t="shared" si="3"/>
        <v>-4012</v>
      </c>
      <c r="L11" s="56">
        <v>6068</v>
      </c>
      <c r="M11" s="56">
        <v>13415</v>
      </c>
      <c r="N11" s="56">
        <f>L11-M11</f>
        <v>-7347</v>
      </c>
      <c r="O11" s="56" t="s">
        <v>12</v>
      </c>
      <c r="P11" s="56" t="s">
        <v>12</v>
      </c>
      <c r="Q11" s="56" t="s">
        <v>12</v>
      </c>
    </row>
    <row r="12" spans="1:17" ht="15.95" customHeight="1" x14ac:dyDescent="0.25">
      <c r="A12" s="15" t="s">
        <v>19</v>
      </c>
      <c r="B12" s="18" t="s">
        <v>20</v>
      </c>
      <c r="C12" s="77">
        <v>16038</v>
      </c>
      <c r="D12" s="45">
        <v>63524</v>
      </c>
      <c r="E12" s="20">
        <f t="shared" si="0"/>
        <v>3.960842997880035</v>
      </c>
      <c r="F12" s="45">
        <v>92124</v>
      </c>
      <c r="G12" s="45">
        <f t="shared" si="1"/>
        <v>-28600</v>
      </c>
      <c r="H12" s="20">
        <f t="shared" si="2"/>
        <v>-45.022353756060703</v>
      </c>
      <c r="I12" s="45">
        <v>63524</v>
      </c>
      <c r="J12" s="45">
        <v>92124</v>
      </c>
      <c r="K12" s="78">
        <f t="shared" si="3"/>
        <v>-28600</v>
      </c>
      <c r="L12" s="56" t="s">
        <v>12</v>
      </c>
      <c r="M12" s="56" t="s">
        <v>12</v>
      </c>
      <c r="N12" s="56" t="s">
        <v>12</v>
      </c>
      <c r="O12" s="56" t="s">
        <v>12</v>
      </c>
      <c r="P12" s="56" t="s">
        <v>12</v>
      </c>
      <c r="Q12" s="56" t="s">
        <v>12</v>
      </c>
    </row>
    <row r="13" spans="1:17" ht="15.95" customHeight="1" x14ac:dyDescent="0.25">
      <c r="A13" s="15" t="s">
        <v>21</v>
      </c>
      <c r="B13" s="18" t="s">
        <v>22</v>
      </c>
      <c r="C13" s="77">
        <v>16084</v>
      </c>
      <c r="D13" s="45">
        <v>45239</v>
      </c>
      <c r="E13" s="20">
        <f t="shared" si="0"/>
        <v>2.8126709773688137</v>
      </c>
      <c r="F13" s="45">
        <v>71788</v>
      </c>
      <c r="G13" s="45">
        <f t="shared" si="1"/>
        <v>-26549</v>
      </c>
      <c r="H13" s="20">
        <f t="shared" si="2"/>
        <v>-58.686089436106016</v>
      </c>
      <c r="I13" s="45">
        <v>17146</v>
      </c>
      <c r="J13" s="45">
        <v>30394</v>
      </c>
      <c r="K13" s="78">
        <f t="shared" si="3"/>
        <v>-13248</v>
      </c>
      <c r="L13" s="56">
        <v>2328</v>
      </c>
      <c r="M13" s="56">
        <v>3014</v>
      </c>
      <c r="N13" s="56">
        <f>L13-M13</f>
        <v>-686</v>
      </c>
      <c r="O13" s="56">
        <v>25765</v>
      </c>
      <c r="P13" s="56">
        <v>38380</v>
      </c>
      <c r="Q13" s="56">
        <f>O13-P13</f>
        <v>-12615</v>
      </c>
    </row>
    <row r="14" spans="1:17" ht="15.95" customHeight="1" x14ac:dyDescent="0.25">
      <c r="A14" s="15" t="s">
        <v>23</v>
      </c>
      <c r="B14" s="18" t="s">
        <v>24</v>
      </c>
      <c r="C14" s="77">
        <v>37641</v>
      </c>
      <c r="D14" s="45">
        <v>125176</v>
      </c>
      <c r="E14" s="70">
        <f t="shared" si="0"/>
        <v>3.3255227013097421</v>
      </c>
      <c r="F14" s="45">
        <v>202642</v>
      </c>
      <c r="G14" s="45">
        <f t="shared" si="1"/>
        <v>-77466</v>
      </c>
      <c r="H14" s="20">
        <f t="shared" si="2"/>
        <v>-61.885664983702945</v>
      </c>
      <c r="I14" s="45">
        <v>31801</v>
      </c>
      <c r="J14" s="45">
        <v>59545</v>
      </c>
      <c r="K14" s="78">
        <f t="shared" si="3"/>
        <v>-27744</v>
      </c>
      <c r="L14" s="56" t="s">
        <v>12</v>
      </c>
      <c r="M14" s="56" t="s">
        <v>12</v>
      </c>
      <c r="N14" s="56" t="s">
        <v>12</v>
      </c>
      <c r="O14" s="56">
        <v>93375</v>
      </c>
      <c r="P14" s="56">
        <v>143097</v>
      </c>
      <c r="Q14" s="56">
        <f>O14-P14</f>
        <v>-49722</v>
      </c>
    </row>
    <row r="15" spans="1:17" ht="15.95" customHeight="1" x14ac:dyDescent="0.25">
      <c r="A15" s="110" t="s">
        <v>31</v>
      </c>
      <c r="B15" s="111"/>
      <c r="C15" s="49">
        <f t="shared" ref="C15:Q15" si="4">SUM(C8:C14)</f>
        <v>319958</v>
      </c>
      <c r="D15" s="21">
        <f t="shared" si="4"/>
        <v>938206</v>
      </c>
      <c r="E15" s="39">
        <f t="shared" si="4"/>
        <v>23.295461367295644</v>
      </c>
      <c r="F15" s="21">
        <f t="shared" si="4"/>
        <v>1297992</v>
      </c>
      <c r="G15" s="21">
        <f t="shared" si="4"/>
        <v>-359786</v>
      </c>
      <c r="H15" s="21">
        <f t="shared" si="4"/>
        <v>-379.97581462254158</v>
      </c>
      <c r="I15" s="21">
        <f t="shared" si="4"/>
        <v>362613</v>
      </c>
      <c r="J15" s="21">
        <f t="shared" si="4"/>
        <v>550007</v>
      </c>
      <c r="K15" s="57">
        <f t="shared" si="4"/>
        <v>-187394</v>
      </c>
      <c r="L15" s="58">
        <f t="shared" si="4"/>
        <v>291141</v>
      </c>
      <c r="M15" s="58">
        <f t="shared" si="4"/>
        <v>331664</v>
      </c>
      <c r="N15" s="58">
        <f t="shared" si="4"/>
        <v>-40523</v>
      </c>
      <c r="O15" s="58">
        <f t="shared" si="4"/>
        <v>284452</v>
      </c>
      <c r="P15" s="58">
        <f t="shared" si="4"/>
        <v>416321</v>
      </c>
      <c r="Q15" s="58">
        <f t="shared" si="4"/>
        <v>-131869</v>
      </c>
    </row>
    <row r="16" spans="1:17" ht="15.95" customHeight="1" x14ac:dyDescent="0.25">
      <c r="A16" s="108" t="s">
        <v>33</v>
      </c>
      <c r="B16" s="109"/>
      <c r="C16" s="49">
        <f t="shared" ref="C16:K16" si="5">C15/7</f>
        <v>45708.285714285717</v>
      </c>
      <c r="D16" s="21">
        <f t="shared" si="5"/>
        <v>134029.42857142858</v>
      </c>
      <c r="E16" s="39">
        <f t="shared" si="5"/>
        <v>3.3279230524708061</v>
      </c>
      <c r="F16" s="21">
        <f t="shared" si="5"/>
        <v>185427.42857142858</v>
      </c>
      <c r="G16" s="21">
        <f t="shared" si="5"/>
        <v>-51398</v>
      </c>
      <c r="H16" s="21">
        <f t="shared" si="5"/>
        <v>-54.282259231791656</v>
      </c>
      <c r="I16" s="21">
        <f t="shared" si="5"/>
        <v>51801.857142857145</v>
      </c>
      <c r="J16" s="21">
        <f t="shared" si="5"/>
        <v>78572.428571428565</v>
      </c>
      <c r="K16" s="21">
        <f t="shared" si="5"/>
        <v>-26770.571428571428</v>
      </c>
      <c r="L16" s="58">
        <f>L15/5</f>
        <v>58228.2</v>
      </c>
      <c r="M16" s="58">
        <f>M15/5</f>
        <v>66332.800000000003</v>
      </c>
      <c r="N16" s="58">
        <f>N15/5</f>
        <v>-8104.6</v>
      </c>
      <c r="O16" s="58">
        <f>O15/4</f>
        <v>71113</v>
      </c>
      <c r="P16" s="58">
        <f>P15/4</f>
        <v>104080.25</v>
      </c>
      <c r="Q16" s="58">
        <f>Q15/4</f>
        <v>-32967.25</v>
      </c>
    </row>
    <row r="17" spans="1:17" ht="15.95" customHeight="1" x14ac:dyDescent="0.25">
      <c r="A17" s="136" t="s">
        <v>25</v>
      </c>
      <c r="B17" s="137"/>
      <c r="C17" s="137"/>
      <c r="D17" s="137"/>
      <c r="E17" s="137"/>
      <c r="F17" s="137"/>
      <c r="G17" s="137"/>
      <c r="H17" s="137"/>
      <c r="I17" s="137"/>
      <c r="J17" s="137"/>
      <c r="K17" s="137"/>
      <c r="L17" s="23"/>
      <c r="M17" s="23"/>
      <c r="N17" s="23"/>
      <c r="O17" s="23"/>
      <c r="P17" s="23"/>
      <c r="Q17" s="23"/>
    </row>
    <row r="18" spans="1:17" ht="15.95" customHeight="1" x14ac:dyDescent="0.25">
      <c r="A18" s="15" t="s">
        <v>9</v>
      </c>
      <c r="B18" s="18" t="s">
        <v>26</v>
      </c>
      <c r="C18" s="76">
        <v>24835</v>
      </c>
      <c r="D18" s="45">
        <v>75265</v>
      </c>
      <c r="E18" s="20">
        <f>D18/C18</f>
        <v>3.0306019730219447</v>
      </c>
      <c r="F18" s="45">
        <v>115772</v>
      </c>
      <c r="G18" s="45">
        <f>-D18-F18</f>
        <v>-191037</v>
      </c>
      <c r="H18" s="20">
        <f>G18/D18*100</f>
        <v>-253.81917225802164</v>
      </c>
      <c r="I18" s="45">
        <v>21416</v>
      </c>
      <c r="J18" s="45">
        <v>39441</v>
      </c>
      <c r="K18" s="78">
        <f>I18-J18</f>
        <v>-18025</v>
      </c>
      <c r="L18" s="56">
        <v>5927</v>
      </c>
      <c r="M18" s="56">
        <v>5927</v>
      </c>
      <c r="N18" s="56">
        <f>L18-M18</f>
        <v>0</v>
      </c>
      <c r="O18" s="56">
        <v>47922</v>
      </c>
      <c r="P18" s="56">
        <v>70404</v>
      </c>
      <c r="Q18" s="56">
        <f>O18-P18</f>
        <v>-22482</v>
      </c>
    </row>
    <row r="19" spans="1:17" ht="15.95" customHeight="1" x14ac:dyDescent="0.25">
      <c r="A19" s="15" t="s">
        <v>13</v>
      </c>
      <c r="B19" s="18" t="s">
        <v>27</v>
      </c>
      <c r="C19" s="76">
        <v>7285</v>
      </c>
      <c r="D19" s="45">
        <v>32847</v>
      </c>
      <c r="E19" s="20">
        <f>D19/C19</f>
        <v>4.5088538091969799</v>
      </c>
      <c r="F19" s="45">
        <v>70456</v>
      </c>
      <c r="G19" s="45">
        <f>D19-F19</f>
        <v>-37609</v>
      </c>
      <c r="H19" s="20">
        <f>G19/D19*100</f>
        <v>-114.49751879928152</v>
      </c>
      <c r="I19" s="45">
        <v>19642</v>
      </c>
      <c r="J19" s="45">
        <v>47060</v>
      </c>
      <c r="K19" s="78">
        <f>I19-J19</f>
        <v>-27418</v>
      </c>
      <c r="L19" s="56" t="s">
        <v>12</v>
      </c>
      <c r="M19" s="56" t="s">
        <v>12</v>
      </c>
      <c r="N19" s="56" t="s">
        <v>12</v>
      </c>
      <c r="O19" s="56">
        <v>13205</v>
      </c>
      <c r="P19" s="56">
        <v>23396</v>
      </c>
      <c r="Q19" s="56">
        <f>O19-P19</f>
        <v>-10191</v>
      </c>
    </row>
    <row r="20" spans="1:17" ht="15.95" customHeight="1" x14ac:dyDescent="0.25">
      <c r="A20" s="15" t="s">
        <v>15</v>
      </c>
      <c r="B20" s="18" t="s">
        <v>28</v>
      </c>
      <c r="C20" s="76">
        <v>21899</v>
      </c>
      <c r="D20" s="45">
        <v>73715</v>
      </c>
      <c r="E20" s="70">
        <f>D20/C20</f>
        <v>3.3661354399744279</v>
      </c>
      <c r="F20" s="45">
        <v>92671</v>
      </c>
      <c r="G20" s="45">
        <f>D20-F20</f>
        <v>-18956</v>
      </c>
      <c r="H20" s="20">
        <f>G20/D20*100</f>
        <v>-25.715254697144406</v>
      </c>
      <c r="I20" s="45">
        <v>37424</v>
      </c>
      <c r="J20" s="45">
        <v>34938</v>
      </c>
      <c r="K20" s="78">
        <f>I20-J20</f>
        <v>2486</v>
      </c>
      <c r="L20" s="56" t="s">
        <v>12</v>
      </c>
      <c r="M20" s="56" t="s">
        <v>12</v>
      </c>
      <c r="N20" s="56" t="s">
        <v>12</v>
      </c>
      <c r="O20" s="56">
        <v>36291</v>
      </c>
      <c r="P20" s="56">
        <v>57733</v>
      </c>
      <c r="Q20" s="56">
        <f>O20-P20</f>
        <v>-21442</v>
      </c>
    </row>
    <row r="21" spans="1:17" ht="15.95" customHeight="1" x14ac:dyDescent="0.25">
      <c r="A21" s="15" t="s">
        <v>17</v>
      </c>
      <c r="B21" s="18" t="s">
        <v>29</v>
      </c>
      <c r="C21" s="76">
        <v>37803</v>
      </c>
      <c r="D21" s="45">
        <v>92314</v>
      </c>
      <c r="E21" s="70">
        <f>D21/C21</f>
        <v>2.4419755045895828</v>
      </c>
      <c r="F21" s="45">
        <v>143919</v>
      </c>
      <c r="G21" s="45">
        <f>D21-F21</f>
        <v>-51605</v>
      </c>
      <c r="H21" s="20">
        <f>G21/D21*100</f>
        <v>-55.901596724223843</v>
      </c>
      <c r="I21" s="45">
        <v>38813</v>
      </c>
      <c r="J21" s="45">
        <v>52832</v>
      </c>
      <c r="K21" s="78">
        <f>I21-J21</f>
        <v>-14019</v>
      </c>
      <c r="L21" s="56">
        <v>7734</v>
      </c>
      <c r="M21" s="56">
        <v>11278</v>
      </c>
      <c r="N21" s="56">
        <f>L21-M21</f>
        <v>-3544</v>
      </c>
      <c r="O21" s="56">
        <v>45767</v>
      </c>
      <c r="P21" s="56">
        <v>79809</v>
      </c>
      <c r="Q21" s="56">
        <f>O21-P21</f>
        <v>-34042</v>
      </c>
    </row>
    <row r="22" spans="1:17" ht="15.95" customHeight="1" x14ac:dyDescent="0.25">
      <c r="A22" s="151" t="s">
        <v>31</v>
      </c>
      <c r="B22" s="152"/>
      <c r="C22" s="49">
        <f t="shared" ref="C22:Q22" si="6">SUM(C18:C21)</f>
        <v>91822</v>
      </c>
      <c r="D22" s="21">
        <f t="shared" si="6"/>
        <v>274141</v>
      </c>
      <c r="E22" s="39">
        <f t="shared" si="6"/>
        <v>13.347566726782937</v>
      </c>
      <c r="F22" s="21">
        <f t="shared" si="6"/>
        <v>422818</v>
      </c>
      <c r="G22" s="21">
        <f t="shared" si="6"/>
        <v>-299207</v>
      </c>
      <c r="H22" s="21">
        <f t="shared" si="6"/>
        <v>-449.93354247867143</v>
      </c>
      <c r="I22" s="21">
        <f t="shared" si="6"/>
        <v>117295</v>
      </c>
      <c r="J22" s="21">
        <f t="shared" si="6"/>
        <v>174271</v>
      </c>
      <c r="K22" s="57">
        <f t="shared" si="6"/>
        <v>-56976</v>
      </c>
      <c r="L22" s="58">
        <f t="shared" si="6"/>
        <v>13661</v>
      </c>
      <c r="M22" s="58">
        <f t="shared" si="6"/>
        <v>17205</v>
      </c>
      <c r="N22" s="58">
        <f t="shared" si="6"/>
        <v>-3544</v>
      </c>
      <c r="O22" s="58">
        <f t="shared" si="6"/>
        <v>143185</v>
      </c>
      <c r="P22" s="58">
        <f t="shared" si="6"/>
        <v>231342</v>
      </c>
      <c r="Q22" s="58">
        <f t="shared" si="6"/>
        <v>-88157</v>
      </c>
    </row>
    <row r="23" spans="1:17" ht="15.95" customHeight="1" x14ac:dyDescent="0.25">
      <c r="A23" s="153" t="s">
        <v>33</v>
      </c>
      <c r="B23" s="154"/>
      <c r="C23" s="49">
        <f t="shared" ref="C23:K23" si="7">C22/4</f>
        <v>22955.5</v>
      </c>
      <c r="D23" s="21">
        <f t="shared" si="7"/>
        <v>68535.25</v>
      </c>
      <c r="E23" s="39">
        <f t="shared" si="7"/>
        <v>3.3368916816957341</v>
      </c>
      <c r="F23" s="21">
        <f t="shared" si="7"/>
        <v>105704.5</v>
      </c>
      <c r="G23" s="21">
        <f t="shared" si="7"/>
        <v>-74801.75</v>
      </c>
      <c r="H23" s="21">
        <f t="shared" si="7"/>
        <v>-112.48338561966786</v>
      </c>
      <c r="I23" s="21">
        <f t="shared" si="7"/>
        <v>29323.75</v>
      </c>
      <c r="J23" s="21">
        <f t="shared" si="7"/>
        <v>43567.75</v>
      </c>
      <c r="K23" s="21">
        <f t="shared" si="7"/>
        <v>-14244</v>
      </c>
      <c r="L23" s="58">
        <f>L22/2</f>
        <v>6830.5</v>
      </c>
      <c r="M23" s="58">
        <f>M22/2</f>
        <v>8602.5</v>
      </c>
      <c r="N23" s="58">
        <f>N22/2</f>
        <v>-1772</v>
      </c>
      <c r="O23" s="58">
        <f>O22/4</f>
        <v>35796.25</v>
      </c>
      <c r="P23" s="58">
        <f>P22/4</f>
        <v>57835.5</v>
      </c>
      <c r="Q23" s="58">
        <f>Q22/4</f>
        <v>-22039.25</v>
      </c>
    </row>
    <row r="24" spans="1:17" ht="30.75" customHeight="1" x14ac:dyDescent="0.25">
      <c r="A24" s="149" t="s">
        <v>30</v>
      </c>
      <c r="B24" s="150"/>
      <c r="C24" s="51">
        <f t="shared" ref="C24:Q24" si="8">SUM(C15,C22)</f>
        <v>411780</v>
      </c>
      <c r="D24" s="51">
        <f t="shared" si="8"/>
        <v>1212347</v>
      </c>
      <c r="E24" s="66">
        <f t="shared" si="8"/>
        <v>36.643028094078581</v>
      </c>
      <c r="F24" s="51">
        <f t="shared" si="8"/>
        <v>1720810</v>
      </c>
      <c r="G24" s="51">
        <f t="shared" si="8"/>
        <v>-658993</v>
      </c>
      <c r="H24" s="51">
        <f t="shared" si="8"/>
        <v>-829.909357101213</v>
      </c>
      <c r="I24" s="51">
        <f t="shared" si="8"/>
        <v>479908</v>
      </c>
      <c r="J24" s="51">
        <f t="shared" si="8"/>
        <v>724278</v>
      </c>
      <c r="K24" s="60">
        <f t="shared" si="8"/>
        <v>-244370</v>
      </c>
      <c r="L24" s="61">
        <f t="shared" si="8"/>
        <v>304802</v>
      </c>
      <c r="M24" s="61">
        <f t="shared" si="8"/>
        <v>348869</v>
      </c>
      <c r="N24" s="61">
        <f t="shared" si="8"/>
        <v>-44067</v>
      </c>
      <c r="O24" s="61">
        <f t="shared" si="8"/>
        <v>427637</v>
      </c>
      <c r="P24" s="61">
        <f t="shared" si="8"/>
        <v>647663</v>
      </c>
      <c r="Q24" s="61">
        <f t="shared" si="8"/>
        <v>-220026</v>
      </c>
    </row>
    <row r="25" spans="1:17" ht="34.5" customHeight="1" x14ac:dyDescent="0.25">
      <c r="A25" s="149" t="s">
        <v>32</v>
      </c>
      <c r="B25" s="150"/>
      <c r="C25" s="51">
        <f t="shared" ref="C25:K25" si="9">C24/11</f>
        <v>37434.545454545456</v>
      </c>
      <c r="D25" s="51">
        <f t="shared" si="9"/>
        <v>110213.36363636363</v>
      </c>
      <c r="E25" s="66">
        <f t="shared" si="9"/>
        <v>3.3311843721889618</v>
      </c>
      <c r="F25" s="51">
        <f t="shared" si="9"/>
        <v>156437.27272727274</v>
      </c>
      <c r="G25" s="51">
        <f t="shared" si="9"/>
        <v>-59908.454545454544</v>
      </c>
      <c r="H25" s="51">
        <f t="shared" si="9"/>
        <v>-75.446305191019363</v>
      </c>
      <c r="I25" s="51">
        <f t="shared" si="9"/>
        <v>43628</v>
      </c>
      <c r="J25" s="51">
        <f t="shared" si="9"/>
        <v>65843.454545454544</v>
      </c>
      <c r="K25" s="51">
        <f t="shared" si="9"/>
        <v>-22215.454545454544</v>
      </c>
      <c r="L25" s="51">
        <f>L24/7</f>
        <v>43543.142857142855</v>
      </c>
      <c r="M25" s="60">
        <f>M24/7</f>
        <v>49838.428571428572</v>
      </c>
      <c r="N25" s="51">
        <f>N24/7</f>
        <v>-6295.2857142857147</v>
      </c>
      <c r="O25" s="61">
        <f>O24/8</f>
        <v>53454.625</v>
      </c>
      <c r="P25" s="61">
        <f>P24/8</f>
        <v>80957.875</v>
      </c>
      <c r="Q25" s="61">
        <f>Q24/8</f>
        <v>-27503.25</v>
      </c>
    </row>
  </sheetData>
  <mergeCells count="30">
    <mergeCell ref="L5:L6"/>
    <mergeCell ref="N5:N6"/>
    <mergeCell ref="O5:O6"/>
    <mergeCell ref="D5:D6"/>
    <mergeCell ref="E5:E6"/>
    <mergeCell ref="H5:H6"/>
    <mergeCell ref="A24:B24"/>
    <mergeCell ref="A25:B25"/>
    <mergeCell ref="A7:K7"/>
    <mergeCell ref="A15:B15"/>
    <mergeCell ref="A17:K17"/>
    <mergeCell ref="A22:B22"/>
    <mergeCell ref="A16:B16"/>
    <mergeCell ref="A23:B23"/>
    <mergeCell ref="O4:Q4"/>
    <mergeCell ref="P5:P6"/>
    <mergeCell ref="Q5:Q6"/>
    <mergeCell ref="A2:Q2"/>
    <mergeCell ref="C4:C6"/>
    <mergeCell ref="B4:B6"/>
    <mergeCell ref="A4:A6"/>
    <mergeCell ref="I4:K4"/>
    <mergeCell ref="L4:N4"/>
    <mergeCell ref="M5:M6"/>
    <mergeCell ref="J5:J6"/>
    <mergeCell ref="I5:I6"/>
    <mergeCell ref="D4:H4"/>
    <mergeCell ref="F5:F6"/>
    <mergeCell ref="G5:G6"/>
    <mergeCell ref="K5:K6"/>
  </mergeCells>
  <pageMargins left="0.70000000000000007" right="0.70000000000000007" top="0.75" bottom="0.75" header="0.30000000000000004" footer="0.30000000000000004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N25"/>
  <sheetViews>
    <sheetView workbookViewId="0">
      <selection activeCell="R15" sqref="R15"/>
    </sheetView>
  </sheetViews>
  <sheetFormatPr defaultRowHeight="15" x14ac:dyDescent="0.25"/>
  <cols>
    <col min="1" max="1" width="5.140625" customWidth="1"/>
    <col min="2" max="2" width="27.7109375" customWidth="1"/>
    <col min="3" max="3" width="10.5703125" customWidth="1"/>
    <col min="4" max="4" width="9.85546875" customWidth="1"/>
    <col min="5" max="5" width="10.42578125" customWidth="1"/>
    <col min="7" max="7" width="9.5703125" bestFit="1" customWidth="1"/>
    <col min="8" max="8" width="10" customWidth="1"/>
    <col min="11" max="11" width="9.85546875" customWidth="1"/>
    <col min="14" max="14" width="10.28515625" customWidth="1"/>
  </cols>
  <sheetData>
    <row r="2" spans="1:14" ht="15.75" x14ac:dyDescent="0.25">
      <c r="A2" s="139" t="s">
        <v>95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</row>
    <row r="4" spans="1:14" ht="9.75" customHeight="1" x14ac:dyDescent="0.25">
      <c r="A4" s="99" t="s">
        <v>0</v>
      </c>
      <c r="B4" s="141" t="s">
        <v>1</v>
      </c>
      <c r="C4" s="130" t="s">
        <v>50</v>
      </c>
      <c r="D4" s="131"/>
      <c r="E4" s="131"/>
      <c r="F4" s="130" t="s">
        <v>4</v>
      </c>
      <c r="G4" s="131"/>
      <c r="H4" s="128"/>
      <c r="I4" s="130" t="s">
        <v>47</v>
      </c>
      <c r="J4" s="131"/>
      <c r="K4" s="128"/>
      <c r="L4" s="130" t="s">
        <v>48</v>
      </c>
      <c r="M4" s="131"/>
      <c r="N4" s="128"/>
    </row>
    <row r="5" spans="1:14" ht="8.25" customHeight="1" x14ac:dyDescent="0.25">
      <c r="A5" s="143"/>
      <c r="B5" s="147"/>
      <c r="C5" s="132"/>
      <c r="D5" s="133"/>
      <c r="E5" s="133"/>
      <c r="F5" s="132"/>
      <c r="G5" s="133"/>
      <c r="H5" s="129"/>
      <c r="I5" s="132"/>
      <c r="J5" s="133"/>
      <c r="K5" s="129"/>
      <c r="L5" s="132"/>
      <c r="M5" s="133"/>
      <c r="N5" s="129"/>
    </row>
    <row r="6" spans="1:14" ht="23.25" customHeight="1" x14ac:dyDescent="0.25">
      <c r="A6" s="143"/>
      <c r="B6" s="147"/>
      <c r="C6" s="34" t="s">
        <v>94</v>
      </c>
      <c r="D6" s="34" t="s">
        <v>45</v>
      </c>
      <c r="E6" s="34" t="s">
        <v>52</v>
      </c>
      <c r="F6" s="34" t="s">
        <v>90</v>
      </c>
      <c r="G6" s="34" t="s">
        <v>45</v>
      </c>
      <c r="H6" s="34" t="s">
        <v>52</v>
      </c>
      <c r="I6" s="34" t="s">
        <v>90</v>
      </c>
      <c r="J6" s="34" t="s">
        <v>45</v>
      </c>
      <c r="K6" s="34" t="s">
        <v>52</v>
      </c>
      <c r="L6" s="34" t="s">
        <v>90</v>
      </c>
      <c r="M6" s="34" t="s">
        <v>45</v>
      </c>
      <c r="N6" s="34" t="s">
        <v>52</v>
      </c>
    </row>
    <row r="7" spans="1:14" ht="15.75" x14ac:dyDescent="0.25">
      <c r="A7" s="155" t="s">
        <v>8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7"/>
    </row>
    <row r="8" spans="1:14" ht="15.95" customHeight="1" x14ac:dyDescent="0.25">
      <c r="A8" s="15" t="s">
        <v>9</v>
      </c>
      <c r="B8" s="18" t="s">
        <v>10</v>
      </c>
      <c r="C8" s="45">
        <v>78351</v>
      </c>
      <c r="D8" s="45">
        <f>81260+7821</f>
        <v>89081</v>
      </c>
      <c r="E8" s="45">
        <f t="shared" ref="E8:E14" si="0">C8-D8</f>
        <v>-10730</v>
      </c>
      <c r="F8" s="45">
        <v>17271</v>
      </c>
      <c r="G8" s="45">
        <v>10256</v>
      </c>
      <c r="H8" s="78">
        <f t="shared" ref="H8:H14" si="1">F8-G8</f>
        <v>7015</v>
      </c>
      <c r="I8" s="79">
        <f>54655+6425</f>
        <v>61080</v>
      </c>
      <c r="J8" s="79">
        <f>63183+7821</f>
        <v>71004</v>
      </c>
      <c r="K8" s="79">
        <f>I8-J8</f>
        <v>-9924</v>
      </c>
      <c r="L8" s="79" t="s">
        <v>12</v>
      </c>
      <c r="M8" s="79" t="s">
        <v>12</v>
      </c>
      <c r="N8" s="79" t="s">
        <v>12</v>
      </c>
    </row>
    <row r="9" spans="1:14" ht="15.95" customHeight="1" x14ac:dyDescent="0.25">
      <c r="A9" s="15" t="s">
        <v>13</v>
      </c>
      <c r="B9" s="18" t="s">
        <v>14</v>
      </c>
      <c r="C9" s="45">
        <v>64602</v>
      </c>
      <c r="D9" s="45">
        <v>116027</v>
      </c>
      <c r="E9" s="45">
        <f t="shared" si="0"/>
        <v>-51425</v>
      </c>
      <c r="F9" s="45">
        <v>14992</v>
      </c>
      <c r="G9" s="45">
        <v>32397</v>
      </c>
      <c r="H9" s="78">
        <f t="shared" si="1"/>
        <v>-17405</v>
      </c>
      <c r="I9" s="79">
        <v>4721</v>
      </c>
      <c r="J9" s="79">
        <v>7724</v>
      </c>
      <c r="K9" s="79">
        <f>I9-J9</f>
        <v>-3003</v>
      </c>
      <c r="L9" s="79">
        <v>44889</v>
      </c>
      <c r="M9" s="79">
        <v>75906</v>
      </c>
      <c r="N9" s="79">
        <f>L9-M9</f>
        <v>-31017</v>
      </c>
    </row>
    <row r="10" spans="1:14" ht="15.95" customHeight="1" x14ac:dyDescent="0.25">
      <c r="A10" s="15" t="s">
        <v>15</v>
      </c>
      <c r="B10" s="18" t="s">
        <v>16</v>
      </c>
      <c r="C10" s="45">
        <v>66111</v>
      </c>
      <c r="D10" s="45">
        <v>101300</v>
      </c>
      <c r="E10" s="45">
        <f t="shared" si="0"/>
        <v>-35189</v>
      </c>
      <c r="F10" s="45">
        <v>47816</v>
      </c>
      <c r="G10" s="45">
        <v>71752</v>
      </c>
      <c r="H10" s="78">
        <f t="shared" si="1"/>
        <v>-23936</v>
      </c>
      <c r="I10" s="79">
        <v>2125</v>
      </c>
      <c r="J10" s="79">
        <v>3242</v>
      </c>
      <c r="K10" s="79">
        <f>I10-J10</f>
        <v>-1117</v>
      </c>
      <c r="L10" s="79">
        <v>16170</v>
      </c>
      <c r="M10" s="79">
        <v>26306</v>
      </c>
      <c r="N10" s="79">
        <f>L10-M10</f>
        <v>-10136</v>
      </c>
    </row>
    <row r="11" spans="1:14" ht="15.95" customHeight="1" x14ac:dyDescent="0.25">
      <c r="A11" s="15" t="s">
        <v>17</v>
      </c>
      <c r="B11" s="18" t="s">
        <v>18</v>
      </c>
      <c r="C11" s="45">
        <v>1452</v>
      </c>
      <c r="D11" s="45">
        <v>2833</v>
      </c>
      <c r="E11" s="45">
        <f t="shared" si="0"/>
        <v>-1381</v>
      </c>
      <c r="F11" s="45">
        <v>620</v>
      </c>
      <c r="G11" s="45">
        <v>945</v>
      </c>
      <c r="H11" s="78">
        <f t="shared" si="1"/>
        <v>-325</v>
      </c>
      <c r="I11" s="79">
        <v>832</v>
      </c>
      <c r="J11" s="79">
        <v>1888</v>
      </c>
      <c r="K11" s="79">
        <f>I11-J11</f>
        <v>-1056</v>
      </c>
      <c r="L11" s="79" t="s">
        <v>12</v>
      </c>
      <c r="M11" s="79" t="s">
        <v>12</v>
      </c>
      <c r="N11" s="79" t="s">
        <v>12</v>
      </c>
    </row>
    <row r="12" spans="1:14" ht="15.95" customHeight="1" x14ac:dyDescent="0.25">
      <c r="A12" s="15" t="s">
        <v>19</v>
      </c>
      <c r="B12" s="18" t="s">
        <v>20</v>
      </c>
      <c r="C12" s="45">
        <v>16492</v>
      </c>
      <c r="D12" s="45">
        <v>25856</v>
      </c>
      <c r="E12" s="45">
        <f t="shared" si="0"/>
        <v>-9364</v>
      </c>
      <c r="F12" s="45">
        <v>16492</v>
      </c>
      <c r="G12" s="45">
        <v>25856</v>
      </c>
      <c r="H12" s="78">
        <f t="shared" si="1"/>
        <v>-9364</v>
      </c>
      <c r="I12" s="79" t="s">
        <v>12</v>
      </c>
      <c r="J12" s="79" t="s">
        <v>12</v>
      </c>
      <c r="K12" s="79" t="s">
        <v>12</v>
      </c>
      <c r="L12" s="79" t="s">
        <v>12</v>
      </c>
      <c r="M12" s="79" t="s">
        <v>12</v>
      </c>
      <c r="N12" s="79" t="s">
        <v>12</v>
      </c>
    </row>
    <row r="13" spans="1:14" ht="15.95" customHeight="1" x14ac:dyDescent="0.25">
      <c r="A13" s="15" t="s">
        <v>21</v>
      </c>
      <c r="B13" s="18" t="s">
        <v>22</v>
      </c>
      <c r="C13" s="45">
        <v>11383</v>
      </c>
      <c r="D13" s="45">
        <v>20670</v>
      </c>
      <c r="E13" s="45">
        <f t="shared" si="0"/>
        <v>-9287</v>
      </c>
      <c r="F13" s="45">
        <v>5438</v>
      </c>
      <c r="G13" s="45">
        <v>9596</v>
      </c>
      <c r="H13" s="78">
        <f t="shared" si="1"/>
        <v>-4158</v>
      </c>
      <c r="I13" s="79">
        <v>14</v>
      </c>
      <c r="J13" s="79">
        <v>27</v>
      </c>
      <c r="K13" s="79">
        <f>I13-J13</f>
        <v>-13</v>
      </c>
      <c r="L13" s="79">
        <v>5931</v>
      </c>
      <c r="M13" s="79">
        <v>11047</v>
      </c>
      <c r="N13" s="79">
        <f>L13-M13</f>
        <v>-5116</v>
      </c>
    </row>
    <row r="14" spans="1:14" ht="15.95" customHeight="1" x14ac:dyDescent="0.25">
      <c r="A14" s="15" t="s">
        <v>23</v>
      </c>
      <c r="B14" s="18" t="s">
        <v>24</v>
      </c>
      <c r="C14" s="45">
        <v>43746</v>
      </c>
      <c r="D14" s="45">
        <v>85371</v>
      </c>
      <c r="E14" s="45">
        <f t="shared" si="0"/>
        <v>-41625</v>
      </c>
      <c r="F14" s="45">
        <v>10107</v>
      </c>
      <c r="G14" s="45">
        <v>17713</v>
      </c>
      <c r="H14" s="78">
        <f t="shared" si="1"/>
        <v>-7606</v>
      </c>
      <c r="I14" s="79" t="s">
        <v>12</v>
      </c>
      <c r="J14" s="79" t="s">
        <v>12</v>
      </c>
      <c r="K14" s="79" t="s">
        <v>12</v>
      </c>
      <c r="L14" s="79">
        <v>33639</v>
      </c>
      <c r="M14" s="79">
        <v>67658</v>
      </c>
      <c r="N14" s="79">
        <f>L14-M14</f>
        <v>-34019</v>
      </c>
    </row>
    <row r="15" spans="1:14" ht="15.95" customHeight="1" x14ac:dyDescent="0.25">
      <c r="A15" s="110" t="s">
        <v>31</v>
      </c>
      <c r="B15" s="111"/>
      <c r="C15" s="21">
        <f t="shared" ref="C15:N15" si="2">SUM(C8:C14)</f>
        <v>282137</v>
      </c>
      <c r="D15" s="21">
        <f t="shared" si="2"/>
        <v>441138</v>
      </c>
      <c r="E15" s="21">
        <f t="shared" si="2"/>
        <v>-159001</v>
      </c>
      <c r="F15" s="21">
        <f t="shared" si="2"/>
        <v>112736</v>
      </c>
      <c r="G15" s="21">
        <f t="shared" si="2"/>
        <v>168515</v>
      </c>
      <c r="H15" s="57">
        <f t="shared" si="2"/>
        <v>-55779</v>
      </c>
      <c r="I15" s="54">
        <f t="shared" si="2"/>
        <v>68772</v>
      </c>
      <c r="J15" s="54">
        <f t="shared" si="2"/>
        <v>83885</v>
      </c>
      <c r="K15" s="54">
        <f t="shared" si="2"/>
        <v>-15113</v>
      </c>
      <c r="L15" s="54">
        <f t="shared" si="2"/>
        <v>100629</v>
      </c>
      <c r="M15" s="54">
        <f t="shared" si="2"/>
        <v>180917</v>
      </c>
      <c r="N15" s="54">
        <f t="shared" si="2"/>
        <v>-80288</v>
      </c>
    </row>
    <row r="16" spans="1:14" ht="15.95" customHeight="1" x14ac:dyDescent="0.25">
      <c r="A16" s="158" t="s">
        <v>33</v>
      </c>
      <c r="B16" s="158"/>
      <c r="C16" s="21">
        <f t="shared" ref="C16:H16" si="3">C15/7</f>
        <v>40305.285714285717</v>
      </c>
      <c r="D16" s="21">
        <f t="shared" si="3"/>
        <v>63019.714285714283</v>
      </c>
      <c r="E16" s="21">
        <f t="shared" si="3"/>
        <v>-22714.428571428572</v>
      </c>
      <c r="F16" s="21">
        <f t="shared" si="3"/>
        <v>16105.142857142857</v>
      </c>
      <c r="G16" s="21">
        <f t="shared" si="3"/>
        <v>24073.571428571428</v>
      </c>
      <c r="H16" s="21">
        <f t="shared" si="3"/>
        <v>-7968.4285714285716</v>
      </c>
      <c r="I16" s="21">
        <f>I15/5</f>
        <v>13754.4</v>
      </c>
      <c r="J16" s="21">
        <f>J15/5</f>
        <v>16777</v>
      </c>
      <c r="K16" s="21">
        <f>K15/5</f>
        <v>-3022.6</v>
      </c>
      <c r="L16" s="21">
        <f>L15/4</f>
        <v>25157.25</v>
      </c>
      <c r="M16" s="21">
        <f>M15/4</f>
        <v>45229.25</v>
      </c>
      <c r="N16" s="21">
        <f>N15/4</f>
        <v>-20072</v>
      </c>
    </row>
    <row r="17" spans="1:14" ht="15.95" customHeight="1" x14ac:dyDescent="0.25">
      <c r="A17" s="155" t="s">
        <v>25</v>
      </c>
      <c r="B17" s="156"/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7"/>
    </row>
    <row r="18" spans="1:14" ht="15.95" customHeight="1" x14ac:dyDescent="0.25">
      <c r="A18" s="15" t="s">
        <v>9</v>
      </c>
      <c r="B18" s="18" t="s">
        <v>26</v>
      </c>
      <c r="C18" s="45">
        <v>29155</v>
      </c>
      <c r="D18" s="45">
        <v>47643</v>
      </c>
      <c r="E18" s="45">
        <f>C18-D18</f>
        <v>-18488</v>
      </c>
      <c r="F18" s="45">
        <v>6216</v>
      </c>
      <c r="G18" s="45">
        <v>14662</v>
      </c>
      <c r="H18" s="78">
        <f>F18-G18</f>
        <v>-8446</v>
      </c>
      <c r="I18" s="79">
        <v>2965</v>
      </c>
      <c r="J18" s="79">
        <v>2965</v>
      </c>
      <c r="K18" s="79">
        <f>I18-J18</f>
        <v>0</v>
      </c>
      <c r="L18" s="79">
        <v>19974</v>
      </c>
      <c r="M18" s="79">
        <v>30016</v>
      </c>
      <c r="N18" s="79">
        <f>L18-M18</f>
        <v>-10042</v>
      </c>
    </row>
    <row r="19" spans="1:14" ht="15.95" customHeight="1" x14ac:dyDescent="0.25">
      <c r="A19" s="15" t="s">
        <v>13</v>
      </c>
      <c r="B19" s="18" t="s">
        <v>27</v>
      </c>
      <c r="C19" s="45">
        <v>12625</v>
      </c>
      <c r="D19" s="45">
        <v>22461</v>
      </c>
      <c r="E19" s="45">
        <f>C19-D19</f>
        <v>-9836</v>
      </c>
      <c r="F19" s="45">
        <v>8723</v>
      </c>
      <c r="G19" s="45">
        <v>13228</v>
      </c>
      <c r="H19" s="78">
        <f>F19-G19</f>
        <v>-4505</v>
      </c>
      <c r="I19" s="79" t="s">
        <v>12</v>
      </c>
      <c r="J19" s="79" t="s">
        <v>12</v>
      </c>
      <c r="K19" s="79" t="s">
        <v>12</v>
      </c>
      <c r="L19" s="79">
        <v>3902</v>
      </c>
      <c r="M19" s="79">
        <v>9233</v>
      </c>
      <c r="N19" s="79">
        <f>L19-M19</f>
        <v>-5331</v>
      </c>
    </row>
    <row r="20" spans="1:14" ht="15.95" customHeight="1" x14ac:dyDescent="0.25">
      <c r="A20" s="15" t="s">
        <v>15</v>
      </c>
      <c r="B20" s="18" t="s">
        <v>28</v>
      </c>
      <c r="C20" s="45">
        <v>24092</v>
      </c>
      <c r="D20" s="45">
        <v>39809</v>
      </c>
      <c r="E20" s="45">
        <f>C20-D20</f>
        <v>-15717</v>
      </c>
      <c r="F20" s="45">
        <v>9415</v>
      </c>
      <c r="G20" s="45">
        <v>12638</v>
      </c>
      <c r="H20" s="78">
        <f>F20-G20</f>
        <v>-3223</v>
      </c>
      <c r="I20" s="79" t="s">
        <v>12</v>
      </c>
      <c r="J20" s="79" t="s">
        <v>12</v>
      </c>
      <c r="K20" s="79" t="s">
        <v>12</v>
      </c>
      <c r="L20" s="79">
        <v>14677</v>
      </c>
      <c r="M20" s="79">
        <v>27171</v>
      </c>
      <c r="N20" s="79">
        <f>L20-M20</f>
        <v>-12494</v>
      </c>
    </row>
    <row r="21" spans="1:14" ht="15.95" customHeight="1" x14ac:dyDescent="0.25">
      <c r="A21" s="15" t="s">
        <v>17</v>
      </c>
      <c r="B21" s="18" t="s">
        <v>29</v>
      </c>
      <c r="C21" s="45">
        <v>31915</v>
      </c>
      <c r="D21" s="45">
        <v>54646</v>
      </c>
      <c r="E21" s="45">
        <f>C21-D21</f>
        <v>-22731</v>
      </c>
      <c r="F21" s="45">
        <v>9713</v>
      </c>
      <c r="G21" s="45">
        <v>13679</v>
      </c>
      <c r="H21" s="78">
        <f>F21-G21</f>
        <v>-3966</v>
      </c>
      <c r="I21" s="79">
        <v>3426</v>
      </c>
      <c r="J21" s="79">
        <v>6377</v>
      </c>
      <c r="K21" s="79">
        <f>I21-J21</f>
        <v>-2951</v>
      </c>
      <c r="L21" s="79">
        <v>18776</v>
      </c>
      <c r="M21" s="79">
        <v>34590</v>
      </c>
      <c r="N21" s="79">
        <f>L21-M21</f>
        <v>-15814</v>
      </c>
    </row>
    <row r="22" spans="1:14" ht="15.95" customHeight="1" x14ac:dyDescent="0.25">
      <c r="A22" s="110" t="s">
        <v>31</v>
      </c>
      <c r="B22" s="111"/>
      <c r="C22" s="21">
        <f t="shared" ref="C22:N22" si="4">SUM(C18:C21)</f>
        <v>97787</v>
      </c>
      <c r="D22" s="21">
        <f t="shared" si="4"/>
        <v>164559</v>
      </c>
      <c r="E22" s="21">
        <f t="shared" si="4"/>
        <v>-66772</v>
      </c>
      <c r="F22" s="21">
        <f t="shared" si="4"/>
        <v>34067</v>
      </c>
      <c r="G22" s="21">
        <f t="shared" si="4"/>
        <v>54207</v>
      </c>
      <c r="H22" s="57">
        <f t="shared" si="4"/>
        <v>-20140</v>
      </c>
      <c r="I22" s="54">
        <f t="shared" si="4"/>
        <v>6391</v>
      </c>
      <c r="J22" s="54">
        <f t="shared" si="4"/>
        <v>9342</v>
      </c>
      <c r="K22" s="54">
        <f t="shared" si="4"/>
        <v>-2951</v>
      </c>
      <c r="L22" s="54">
        <f t="shared" si="4"/>
        <v>57329</v>
      </c>
      <c r="M22" s="54">
        <f t="shared" si="4"/>
        <v>101010</v>
      </c>
      <c r="N22" s="54">
        <f t="shared" si="4"/>
        <v>-43681</v>
      </c>
    </row>
    <row r="23" spans="1:14" ht="15.95" customHeight="1" x14ac:dyDescent="0.25">
      <c r="A23" s="158" t="s">
        <v>33</v>
      </c>
      <c r="B23" s="158"/>
      <c r="C23" s="21">
        <f t="shared" ref="C23:H23" si="5">C22/4</f>
        <v>24446.75</v>
      </c>
      <c r="D23" s="21">
        <f t="shared" si="5"/>
        <v>41139.75</v>
      </c>
      <c r="E23" s="21">
        <f t="shared" si="5"/>
        <v>-16693</v>
      </c>
      <c r="F23" s="21">
        <f t="shared" si="5"/>
        <v>8516.75</v>
      </c>
      <c r="G23" s="21">
        <f t="shared" si="5"/>
        <v>13551.75</v>
      </c>
      <c r="H23" s="57">
        <f t="shared" si="5"/>
        <v>-5035</v>
      </c>
      <c r="I23" s="21">
        <f>I22/2</f>
        <v>3195.5</v>
      </c>
      <c r="J23" s="21">
        <f>J22/2</f>
        <v>4671</v>
      </c>
      <c r="K23" s="21">
        <f>K22/2</f>
        <v>-1475.5</v>
      </c>
      <c r="L23" s="21">
        <f>L22/4</f>
        <v>14332.25</v>
      </c>
      <c r="M23" s="21">
        <f>M22/4</f>
        <v>25252.5</v>
      </c>
      <c r="N23" s="21">
        <f>N22/4</f>
        <v>-10920.25</v>
      </c>
    </row>
    <row r="24" spans="1:14" ht="29.25" customHeight="1" x14ac:dyDescent="0.25">
      <c r="A24" s="106" t="s">
        <v>30</v>
      </c>
      <c r="B24" s="107"/>
      <c r="C24" s="51">
        <f t="shared" ref="C24:N24" si="6">SUM(C15,C22)</f>
        <v>379924</v>
      </c>
      <c r="D24" s="51">
        <f t="shared" si="6"/>
        <v>605697</v>
      </c>
      <c r="E24" s="51">
        <f t="shared" si="6"/>
        <v>-225773</v>
      </c>
      <c r="F24" s="51">
        <f t="shared" si="6"/>
        <v>146803</v>
      </c>
      <c r="G24" s="51">
        <f t="shared" si="6"/>
        <v>222722</v>
      </c>
      <c r="H24" s="60">
        <f t="shared" si="6"/>
        <v>-75919</v>
      </c>
      <c r="I24" s="50">
        <f t="shared" si="6"/>
        <v>75163</v>
      </c>
      <c r="J24" s="50">
        <f t="shared" si="6"/>
        <v>93227</v>
      </c>
      <c r="K24" s="50">
        <f t="shared" si="6"/>
        <v>-18064</v>
      </c>
      <c r="L24" s="50">
        <f t="shared" si="6"/>
        <v>157958</v>
      </c>
      <c r="M24" s="50">
        <f t="shared" si="6"/>
        <v>281927</v>
      </c>
      <c r="N24" s="50">
        <f t="shared" si="6"/>
        <v>-123969</v>
      </c>
    </row>
    <row r="25" spans="1:14" ht="30.75" customHeight="1" x14ac:dyDescent="0.25">
      <c r="A25" s="106" t="s">
        <v>32</v>
      </c>
      <c r="B25" s="107"/>
      <c r="C25" s="51">
        <f t="shared" ref="C25:H25" si="7">C24/11</f>
        <v>34538.545454545456</v>
      </c>
      <c r="D25" s="51">
        <f t="shared" si="7"/>
        <v>55063.36363636364</v>
      </c>
      <c r="E25" s="51">
        <f t="shared" si="7"/>
        <v>-20524.81818181818</v>
      </c>
      <c r="F25" s="51">
        <f t="shared" si="7"/>
        <v>13345.727272727272</v>
      </c>
      <c r="G25" s="51">
        <f t="shared" si="7"/>
        <v>20247.454545454544</v>
      </c>
      <c r="H25" s="51">
        <f t="shared" si="7"/>
        <v>-6901.727272727273</v>
      </c>
      <c r="I25" s="51">
        <f>I24/7</f>
        <v>10737.571428571429</v>
      </c>
      <c r="J25" s="60">
        <f>J24/7</f>
        <v>13318.142857142857</v>
      </c>
      <c r="K25" s="51">
        <f>K24/7</f>
        <v>-2580.5714285714284</v>
      </c>
      <c r="L25" s="51">
        <f>L24/8</f>
        <v>19744.75</v>
      </c>
      <c r="M25" s="51">
        <f>M24/8</f>
        <v>35240.875</v>
      </c>
      <c r="N25" s="51">
        <f>N24/8</f>
        <v>-15496.125</v>
      </c>
    </row>
  </sheetData>
  <mergeCells count="15">
    <mergeCell ref="A25:B25"/>
    <mergeCell ref="A17:N17"/>
    <mergeCell ref="A7:N7"/>
    <mergeCell ref="A2:N2"/>
    <mergeCell ref="A15:B15"/>
    <mergeCell ref="A22:B22"/>
    <mergeCell ref="A24:B24"/>
    <mergeCell ref="L4:N5"/>
    <mergeCell ref="A4:A6"/>
    <mergeCell ref="B4:B6"/>
    <mergeCell ref="C4:E5"/>
    <mergeCell ref="F4:H5"/>
    <mergeCell ref="I4:K5"/>
    <mergeCell ref="A16:B16"/>
    <mergeCell ref="A23:B23"/>
  </mergeCells>
  <pageMargins left="0.70000000000000007" right="0.70000000000000007" top="0.75" bottom="0.75" header="0.30000000000000004" footer="0.3000000000000000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N37"/>
  <sheetViews>
    <sheetView workbookViewId="0">
      <selection activeCell="L19" sqref="L19"/>
    </sheetView>
  </sheetViews>
  <sheetFormatPr defaultRowHeight="15" x14ac:dyDescent="0.25"/>
  <cols>
    <col min="1" max="1" width="5" customWidth="1"/>
    <col min="2" max="2" width="28" customWidth="1"/>
    <col min="3" max="3" width="10.5703125" customWidth="1"/>
    <col min="5" max="5" width="9.85546875" customWidth="1"/>
    <col min="8" max="8" width="10" customWidth="1"/>
    <col min="11" max="11" width="10" customWidth="1"/>
    <col min="14" max="14" width="10.140625" customWidth="1"/>
  </cols>
  <sheetData>
    <row r="2" spans="1:14" ht="15.75" x14ac:dyDescent="0.25">
      <c r="A2" s="139" t="s">
        <v>96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</row>
    <row r="3" spans="1:14" ht="15.75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24" customHeight="1" x14ac:dyDescent="0.25">
      <c r="A4" s="99" t="s">
        <v>0</v>
      </c>
      <c r="B4" s="141" t="s">
        <v>1</v>
      </c>
      <c r="C4" s="126" t="s">
        <v>50</v>
      </c>
      <c r="D4" s="140"/>
      <c r="E4" s="127"/>
      <c r="F4" s="126" t="s">
        <v>4</v>
      </c>
      <c r="G4" s="140"/>
      <c r="H4" s="127"/>
      <c r="I4" s="126" t="s">
        <v>47</v>
      </c>
      <c r="J4" s="140"/>
      <c r="K4" s="127"/>
      <c r="L4" s="126" t="s">
        <v>48</v>
      </c>
      <c r="M4" s="140"/>
      <c r="N4" s="127"/>
    </row>
    <row r="5" spans="1:14" ht="26.25" customHeight="1" x14ac:dyDescent="0.25">
      <c r="A5" s="143"/>
      <c r="B5" s="147"/>
      <c r="C5" s="89" t="s">
        <v>94</v>
      </c>
      <c r="D5" s="89" t="s">
        <v>45</v>
      </c>
      <c r="E5" s="35" t="s">
        <v>52</v>
      </c>
      <c r="F5" s="35" t="s">
        <v>90</v>
      </c>
      <c r="G5" s="35" t="s">
        <v>45</v>
      </c>
      <c r="H5" s="35" t="s">
        <v>52</v>
      </c>
      <c r="I5" s="35" t="s">
        <v>90</v>
      </c>
      <c r="J5" s="35" t="s">
        <v>45</v>
      </c>
      <c r="K5" s="35" t="s">
        <v>52</v>
      </c>
      <c r="L5" s="35" t="s">
        <v>90</v>
      </c>
      <c r="M5" s="35" t="s">
        <v>45</v>
      </c>
      <c r="N5" s="35" t="s">
        <v>52</v>
      </c>
    </row>
    <row r="6" spans="1:14" ht="15.95" customHeight="1" x14ac:dyDescent="0.25">
      <c r="A6" s="29" t="s">
        <v>8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1"/>
    </row>
    <row r="7" spans="1:14" ht="15.95" customHeight="1" x14ac:dyDescent="0.25">
      <c r="A7" s="15" t="s">
        <v>9</v>
      </c>
      <c r="B7" s="18" t="s">
        <v>10</v>
      </c>
      <c r="C7" s="45">
        <v>579929</v>
      </c>
      <c r="D7" s="45">
        <v>692018</v>
      </c>
      <c r="E7" s="45">
        <f t="shared" ref="E7:E13" si="0">C7-D7</f>
        <v>-112089</v>
      </c>
      <c r="F7" s="45">
        <v>168696</v>
      </c>
      <c r="G7" s="45">
        <v>241311</v>
      </c>
      <c r="H7" s="78">
        <f t="shared" ref="H7:H13" si="1">F7-G7</f>
        <v>-72615</v>
      </c>
      <c r="I7" s="79">
        <f>389672+21561</f>
        <v>411233</v>
      </c>
      <c r="J7" s="79">
        <f>429457+21250</f>
        <v>450707</v>
      </c>
      <c r="K7" s="79">
        <f>I7-J7</f>
        <v>-39474</v>
      </c>
      <c r="L7" s="79" t="s">
        <v>12</v>
      </c>
      <c r="M7" s="79" t="s">
        <v>12</v>
      </c>
      <c r="N7" s="79" t="s">
        <v>12</v>
      </c>
    </row>
    <row r="8" spans="1:14" ht="15.95" customHeight="1" x14ac:dyDescent="0.25">
      <c r="A8" s="15" t="s">
        <v>13</v>
      </c>
      <c r="B8" s="18" t="s">
        <v>14</v>
      </c>
      <c r="C8" s="45">
        <v>215340</v>
      </c>
      <c r="D8" s="45">
        <v>296660</v>
      </c>
      <c r="E8" s="45">
        <f t="shared" si="0"/>
        <v>-81320</v>
      </c>
      <c r="F8" s="45">
        <v>45831</v>
      </c>
      <c r="G8" s="45">
        <v>68619</v>
      </c>
      <c r="H8" s="78">
        <f t="shared" si="1"/>
        <v>-22788</v>
      </c>
      <c r="I8" s="79">
        <v>15583</v>
      </c>
      <c r="J8" s="79">
        <v>19728</v>
      </c>
      <c r="K8" s="79">
        <f>I8-J8</f>
        <v>-4145</v>
      </c>
      <c r="L8" s="79">
        <v>153926</v>
      </c>
      <c r="M8" s="79">
        <v>208313</v>
      </c>
      <c r="N8" s="79">
        <f>L8-M8</f>
        <v>-54387</v>
      </c>
    </row>
    <row r="9" spans="1:14" ht="15.95" customHeight="1" x14ac:dyDescent="0.25">
      <c r="A9" s="15" t="s">
        <v>15</v>
      </c>
      <c r="B9" s="18" t="s">
        <v>16</v>
      </c>
      <c r="C9" s="45">
        <v>165316</v>
      </c>
      <c r="D9" s="45">
        <v>235691</v>
      </c>
      <c r="E9" s="45">
        <f t="shared" si="0"/>
        <v>-70375</v>
      </c>
      <c r="F9" s="45">
        <v>62944</v>
      </c>
      <c r="G9" s="45">
        <v>79595</v>
      </c>
      <c r="H9" s="78">
        <f t="shared" si="1"/>
        <v>-16651</v>
      </c>
      <c r="I9" s="79">
        <v>16592</v>
      </c>
      <c r="J9" s="79">
        <v>22918</v>
      </c>
      <c r="K9" s="79">
        <f>I9-J9</f>
        <v>-6326</v>
      </c>
      <c r="L9" s="79">
        <v>85780</v>
      </c>
      <c r="M9" s="79">
        <v>133178</v>
      </c>
      <c r="N9" s="79">
        <f>L9-M9</f>
        <v>-47398</v>
      </c>
    </row>
    <row r="10" spans="1:14" ht="15.95" customHeight="1" x14ac:dyDescent="0.25">
      <c r="A10" s="15" t="s">
        <v>17</v>
      </c>
      <c r="B10" s="18" t="s">
        <v>18</v>
      </c>
      <c r="C10" s="45">
        <v>21137</v>
      </c>
      <c r="D10" s="45">
        <v>38101</v>
      </c>
      <c r="E10" s="45">
        <f t="shared" si="0"/>
        <v>-16964</v>
      </c>
      <c r="F10" s="45">
        <v>9280</v>
      </c>
      <c r="G10" s="45">
        <v>11653</v>
      </c>
      <c r="H10" s="78">
        <f t="shared" si="1"/>
        <v>-2373</v>
      </c>
      <c r="I10" s="79">
        <v>11857</v>
      </c>
      <c r="J10" s="79">
        <v>26448</v>
      </c>
      <c r="K10" s="79">
        <f>I10-J10</f>
        <v>-14591</v>
      </c>
      <c r="L10" s="79" t="s">
        <v>12</v>
      </c>
      <c r="M10" s="79" t="s">
        <v>12</v>
      </c>
      <c r="N10" s="79" t="s">
        <v>12</v>
      </c>
    </row>
    <row r="11" spans="1:14" ht="15.95" customHeight="1" x14ac:dyDescent="0.25">
      <c r="A11" s="15" t="s">
        <v>19</v>
      </c>
      <c r="B11" s="18" t="s">
        <v>20</v>
      </c>
      <c r="C11" s="45">
        <v>100886</v>
      </c>
      <c r="D11" s="45">
        <v>142020</v>
      </c>
      <c r="E11" s="45">
        <f t="shared" si="0"/>
        <v>-41134</v>
      </c>
      <c r="F11" s="45">
        <v>100886</v>
      </c>
      <c r="G11" s="45">
        <v>142020</v>
      </c>
      <c r="H11" s="78">
        <f t="shared" si="1"/>
        <v>-41134</v>
      </c>
      <c r="I11" s="79" t="s">
        <v>12</v>
      </c>
      <c r="J11" s="79" t="s">
        <v>12</v>
      </c>
      <c r="K11" s="79" t="s">
        <v>12</v>
      </c>
      <c r="L11" s="79" t="s">
        <v>12</v>
      </c>
      <c r="M11" s="79" t="s">
        <v>12</v>
      </c>
      <c r="N11" s="79" t="s">
        <v>12</v>
      </c>
    </row>
    <row r="12" spans="1:14" ht="15.95" customHeight="1" x14ac:dyDescent="0.25">
      <c r="A12" s="15" t="s">
        <v>21</v>
      </c>
      <c r="B12" s="18" t="s">
        <v>22</v>
      </c>
      <c r="C12" s="45">
        <v>102543</v>
      </c>
      <c r="D12" s="45">
        <v>133197</v>
      </c>
      <c r="E12" s="45">
        <f t="shared" si="0"/>
        <v>-30654</v>
      </c>
      <c r="F12" s="45">
        <v>32619</v>
      </c>
      <c r="G12" s="45">
        <v>41671</v>
      </c>
      <c r="H12" s="78">
        <f t="shared" si="1"/>
        <v>-9052</v>
      </c>
      <c r="I12" s="79">
        <v>4490</v>
      </c>
      <c r="J12" s="79">
        <v>5817</v>
      </c>
      <c r="K12" s="79">
        <f>I12-J12</f>
        <v>-1327</v>
      </c>
      <c r="L12" s="79">
        <v>65434</v>
      </c>
      <c r="M12" s="79">
        <v>85709</v>
      </c>
      <c r="N12" s="79">
        <f>L12-M12</f>
        <v>-20275</v>
      </c>
    </row>
    <row r="13" spans="1:14" ht="15.95" customHeight="1" x14ac:dyDescent="0.25">
      <c r="A13" s="15" t="s">
        <v>23</v>
      </c>
      <c r="B13" s="18" t="s">
        <v>24</v>
      </c>
      <c r="C13" s="45">
        <v>165332</v>
      </c>
      <c r="D13" s="45">
        <v>232942</v>
      </c>
      <c r="E13" s="45">
        <f t="shared" si="0"/>
        <v>-67610</v>
      </c>
      <c r="F13" s="45">
        <v>45322</v>
      </c>
      <c r="G13" s="45">
        <v>70222</v>
      </c>
      <c r="H13" s="78">
        <f t="shared" si="1"/>
        <v>-24900</v>
      </c>
      <c r="I13" s="79" t="s">
        <v>12</v>
      </c>
      <c r="J13" s="79" t="s">
        <v>12</v>
      </c>
      <c r="K13" s="79" t="s">
        <v>12</v>
      </c>
      <c r="L13" s="79">
        <v>120010</v>
      </c>
      <c r="M13" s="79">
        <v>162720</v>
      </c>
      <c r="N13" s="79">
        <f>L13-M13</f>
        <v>-42710</v>
      </c>
    </row>
    <row r="14" spans="1:14" ht="15.95" customHeight="1" x14ac:dyDescent="0.25">
      <c r="A14" s="160" t="s">
        <v>31</v>
      </c>
      <c r="B14" s="160"/>
      <c r="C14" s="21">
        <f t="shared" ref="C14:N14" si="2">SUM(C7:C13)</f>
        <v>1350483</v>
      </c>
      <c r="D14" s="21">
        <f t="shared" si="2"/>
        <v>1770629</v>
      </c>
      <c r="E14" s="21">
        <f t="shared" si="2"/>
        <v>-420146</v>
      </c>
      <c r="F14" s="21">
        <f t="shared" si="2"/>
        <v>465578</v>
      </c>
      <c r="G14" s="21">
        <f t="shared" si="2"/>
        <v>655091</v>
      </c>
      <c r="H14" s="21">
        <f t="shared" si="2"/>
        <v>-189513</v>
      </c>
      <c r="I14" s="54">
        <f t="shared" si="2"/>
        <v>459755</v>
      </c>
      <c r="J14" s="54">
        <f t="shared" si="2"/>
        <v>525618</v>
      </c>
      <c r="K14" s="54">
        <f t="shared" si="2"/>
        <v>-65863</v>
      </c>
      <c r="L14" s="54">
        <f t="shared" si="2"/>
        <v>425150</v>
      </c>
      <c r="M14" s="54">
        <f t="shared" si="2"/>
        <v>589920</v>
      </c>
      <c r="N14" s="54">
        <f t="shared" si="2"/>
        <v>-164770</v>
      </c>
    </row>
    <row r="15" spans="1:14" s="36" customFormat="1" ht="15.95" customHeight="1" x14ac:dyDescent="0.25">
      <c r="A15" s="160" t="s">
        <v>33</v>
      </c>
      <c r="B15" s="160"/>
      <c r="C15" s="21">
        <f t="shared" ref="C15:H15" si="3">C14/7</f>
        <v>192926.14285714287</v>
      </c>
      <c r="D15" s="21">
        <f t="shared" si="3"/>
        <v>252947</v>
      </c>
      <c r="E15" s="21">
        <f t="shared" si="3"/>
        <v>-60020.857142857145</v>
      </c>
      <c r="F15" s="21">
        <f t="shared" si="3"/>
        <v>66511.142857142855</v>
      </c>
      <c r="G15" s="21">
        <f t="shared" si="3"/>
        <v>93584.428571428565</v>
      </c>
      <c r="H15" s="21">
        <f t="shared" si="3"/>
        <v>-27073.285714285714</v>
      </c>
      <c r="I15" s="54">
        <f>I14/5</f>
        <v>91951</v>
      </c>
      <c r="J15" s="54">
        <f>J14/5</f>
        <v>105123.6</v>
      </c>
      <c r="K15" s="54">
        <f>K14/5</f>
        <v>-13172.6</v>
      </c>
      <c r="L15" s="54">
        <f>L14/4</f>
        <v>106287.5</v>
      </c>
      <c r="M15" s="54">
        <f>M14/4</f>
        <v>147480</v>
      </c>
      <c r="N15" s="54">
        <f>N14/4</f>
        <v>-41192.5</v>
      </c>
    </row>
    <row r="16" spans="1:14" ht="15.95" customHeight="1" x14ac:dyDescent="0.25">
      <c r="A16" s="159" t="s">
        <v>25</v>
      </c>
      <c r="B16" s="159"/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</row>
    <row r="17" spans="1:14" ht="15.95" customHeight="1" x14ac:dyDescent="0.25">
      <c r="A17" s="15" t="s">
        <v>9</v>
      </c>
      <c r="B17" s="18" t="s">
        <v>26</v>
      </c>
      <c r="C17" s="45">
        <v>127466</v>
      </c>
      <c r="D17" s="45">
        <v>171950</v>
      </c>
      <c r="E17" s="45">
        <f>C17-D17</f>
        <v>-44484</v>
      </c>
      <c r="F17" s="45">
        <v>33461</v>
      </c>
      <c r="G17" s="45">
        <v>49195</v>
      </c>
      <c r="H17" s="78">
        <f>F17-G17</f>
        <v>-15734</v>
      </c>
      <c r="I17" s="79">
        <v>7143</v>
      </c>
      <c r="J17" s="79">
        <v>7075</v>
      </c>
      <c r="K17" s="79">
        <f>I17-J17</f>
        <v>68</v>
      </c>
      <c r="L17" s="79">
        <v>86862</v>
      </c>
      <c r="M17" s="79">
        <v>115680</v>
      </c>
      <c r="N17" s="79">
        <f>L17-M17</f>
        <v>-28818</v>
      </c>
    </row>
    <row r="18" spans="1:14" ht="15.95" customHeight="1" x14ac:dyDescent="0.25">
      <c r="A18" s="15" t="s">
        <v>13</v>
      </c>
      <c r="B18" s="18" t="s">
        <v>27</v>
      </c>
      <c r="C18" s="45">
        <v>34473</v>
      </c>
      <c r="D18" s="45">
        <v>51537</v>
      </c>
      <c r="E18" s="45">
        <f>C18-D18</f>
        <v>-17064</v>
      </c>
      <c r="F18" s="45">
        <v>8081</v>
      </c>
      <c r="G18" s="45">
        <v>17079</v>
      </c>
      <c r="H18" s="78">
        <f>F18-G18</f>
        <v>-8998</v>
      </c>
      <c r="I18" s="79" t="s">
        <v>12</v>
      </c>
      <c r="J18" s="79" t="s">
        <v>12</v>
      </c>
      <c r="K18" s="79" t="s">
        <v>12</v>
      </c>
      <c r="L18" s="79">
        <v>26392</v>
      </c>
      <c r="M18" s="79">
        <v>34458</v>
      </c>
      <c r="N18" s="79">
        <f>L18-M18</f>
        <v>-8066</v>
      </c>
    </row>
    <row r="19" spans="1:14" ht="15.95" customHeight="1" x14ac:dyDescent="0.25">
      <c r="A19" s="15" t="s">
        <v>15</v>
      </c>
      <c r="B19" s="18" t="s">
        <v>28</v>
      </c>
      <c r="C19" s="45">
        <v>95922</v>
      </c>
      <c r="D19" s="45">
        <v>139701</v>
      </c>
      <c r="E19" s="45">
        <f>C19-D19</f>
        <v>-43779</v>
      </c>
      <c r="F19" s="45">
        <v>30843</v>
      </c>
      <c r="G19" s="45">
        <v>45186</v>
      </c>
      <c r="H19" s="78">
        <f>F19-G19</f>
        <v>-14343</v>
      </c>
      <c r="I19" s="79" t="s">
        <v>12</v>
      </c>
      <c r="J19" s="79" t="s">
        <v>12</v>
      </c>
      <c r="K19" s="79" t="s">
        <v>12</v>
      </c>
      <c r="L19" s="79">
        <v>65079</v>
      </c>
      <c r="M19" s="79">
        <v>94515</v>
      </c>
      <c r="N19" s="79">
        <f>L19-M19</f>
        <v>-29436</v>
      </c>
    </row>
    <row r="20" spans="1:14" ht="15.95" customHeight="1" x14ac:dyDescent="0.25">
      <c r="A20" s="15" t="s">
        <v>17</v>
      </c>
      <c r="B20" s="18" t="s">
        <v>29</v>
      </c>
      <c r="C20" s="45">
        <v>145021</v>
      </c>
      <c r="D20" s="45">
        <v>181726</v>
      </c>
      <c r="E20" s="45">
        <f>C20-D20</f>
        <v>-36705</v>
      </c>
      <c r="F20" s="45">
        <v>62691</v>
      </c>
      <c r="G20" s="45">
        <v>72759</v>
      </c>
      <c r="H20" s="78">
        <f>F20-G20</f>
        <v>-10068</v>
      </c>
      <c r="I20" s="79">
        <v>8985</v>
      </c>
      <c r="J20" s="79">
        <v>14192</v>
      </c>
      <c r="K20" s="79">
        <f>I20-J20</f>
        <v>-5207</v>
      </c>
      <c r="L20" s="79">
        <v>73345</v>
      </c>
      <c r="M20" s="79">
        <v>94775</v>
      </c>
      <c r="N20" s="79">
        <f>L20-M20</f>
        <v>-21430</v>
      </c>
    </row>
    <row r="21" spans="1:14" ht="15.95" customHeight="1" x14ac:dyDescent="0.25">
      <c r="A21" s="110" t="s">
        <v>31</v>
      </c>
      <c r="B21" s="111"/>
      <c r="C21" s="21">
        <f t="shared" ref="C21:N21" si="4">SUM(C17:C20)</f>
        <v>402882</v>
      </c>
      <c r="D21" s="21">
        <f t="shared" si="4"/>
        <v>544914</v>
      </c>
      <c r="E21" s="21">
        <f t="shared" si="4"/>
        <v>-142032</v>
      </c>
      <c r="F21" s="21">
        <f t="shared" si="4"/>
        <v>135076</v>
      </c>
      <c r="G21" s="21">
        <f t="shared" si="4"/>
        <v>184219</v>
      </c>
      <c r="H21" s="57">
        <f t="shared" si="4"/>
        <v>-49143</v>
      </c>
      <c r="I21" s="54">
        <f t="shared" si="4"/>
        <v>16128</v>
      </c>
      <c r="J21" s="54">
        <f t="shared" si="4"/>
        <v>21267</v>
      </c>
      <c r="K21" s="54">
        <f t="shared" si="4"/>
        <v>-5139</v>
      </c>
      <c r="L21" s="54">
        <f t="shared" si="4"/>
        <v>251678</v>
      </c>
      <c r="M21" s="54">
        <f t="shared" si="4"/>
        <v>339428</v>
      </c>
      <c r="N21" s="54">
        <f t="shared" si="4"/>
        <v>-87750</v>
      </c>
    </row>
    <row r="22" spans="1:14" ht="15.95" customHeight="1" x14ac:dyDescent="0.25">
      <c r="A22" s="160" t="s">
        <v>33</v>
      </c>
      <c r="B22" s="160"/>
      <c r="C22" s="21">
        <f t="shared" ref="C22:H22" si="5">C21/4</f>
        <v>100720.5</v>
      </c>
      <c r="D22" s="21">
        <f t="shared" si="5"/>
        <v>136228.5</v>
      </c>
      <c r="E22" s="21">
        <f t="shared" si="5"/>
        <v>-35508</v>
      </c>
      <c r="F22" s="21">
        <f t="shared" si="5"/>
        <v>33769</v>
      </c>
      <c r="G22" s="21">
        <f t="shared" si="5"/>
        <v>46054.75</v>
      </c>
      <c r="H22" s="57">
        <f t="shared" si="5"/>
        <v>-12285.75</v>
      </c>
      <c r="I22" s="54">
        <f>I21/2</f>
        <v>8064</v>
      </c>
      <c r="J22" s="54">
        <f>J21/2</f>
        <v>10633.5</v>
      </c>
      <c r="K22" s="54">
        <f>K21/2</f>
        <v>-2569.5</v>
      </c>
      <c r="L22" s="54">
        <f>L21/4</f>
        <v>62919.5</v>
      </c>
      <c r="M22" s="54">
        <f>M21/4</f>
        <v>84857</v>
      </c>
      <c r="N22" s="54">
        <f>N21/4</f>
        <v>-21937.5</v>
      </c>
    </row>
    <row r="23" spans="1:14" ht="28.5" customHeight="1" x14ac:dyDescent="0.25">
      <c r="A23" s="106" t="s">
        <v>30</v>
      </c>
      <c r="B23" s="107"/>
      <c r="C23" s="51">
        <f t="shared" ref="C23:N23" si="6">SUM(C14,C21)</f>
        <v>1753365</v>
      </c>
      <c r="D23" s="51">
        <f t="shared" si="6"/>
        <v>2315543</v>
      </c>
      <c r="E23" s="51">
        <f t="shared" si="6"/>
        <v>-562178</v>
      </c>
      <c r="F23" s="51">
        <f t="shared" si="6"/>
        <v>600654</v>
      </c>
      <c r="G23" s="51">
        <f t="shared" si="6"/>
        <v>839310</v>
      </c>
      <c r="H23" s="60">
        <f t="shared" si="6"/>
        <v>-238656</v>
      </c>
      <c r="I23" s="50">
        <f t="shared" si="6"/>
        <v>475883</v>
      </c>
      <c r="J23" s="50">
        <f t="shared" si="6"/>
        <v>546885</v>
      </c>
      <c r="K23" s="50">
        <f t="shared" si="6"/>
        <v>-71002</v>
      </c>
      <c r="L23" s="50">
        <f t="shared" si="6"/>
        <v>676828</v>
      </c>
      <c r="M23" s="50">
        <f t="shared" si="6"/>
        <v>929348</v>
      </c>
      <c r="N23" s="50">
        <f t="shared" si="6"/>
        <v>-252520</v>
      </c>
    </row>
    <row r="24" spans="1:14" ht="33" customHeight="1" x14ac:dyDescent="0.25">
      <c r="A24" s="106" t="s">
        <v>32</v>
      </c>
      <c r="B24" s="107"/>
      <c r="C24" s="51">
        <f t="shared" ref="C24:H24" si="7">C23/11</f>
        <v>159396.81818181818</v>
      </c>
      <c r="D24" s="51">
        <f t="shared" si="7"/>
        <v>210503.90909090909</v>
      </c>
      <c r="E24" s="51">
        <f t="shared" si="7"/>
        <v>-51107.090909090912</v>
      </c>
      <c r="F24" s="51">
        <f t="shared" si="7"/>
        <v>54604.909090909088</v>
      </c>
      <c r="G24" s="51">
        <f t="shared" si="7"/>
        <v>76300.909090909088</v>
      </c>
      <c r="H24" s="51">
        <f t="shared" si="7"/>
        <v>-21696</v>
      </c>
      <c r="I24" s="51">
        <f>I23/7</f>
        <v>67983.28571428571</v>
      </c>
      <c r="J24" s="60">
        <f>J23/7</f>
        <v>78126.428571428565</v>
      </c>
      <c r="K24" s="51">
        <f>K23/7</f>
        <v>-10143.142857142857</v>
      </c>
      <c r="L24" s="51">
        <f>L23/8</f>
        <v>84603.5</v>
      </c>
      <c r="M24" s="51">
        <f>M23/8</f>
        <v>116168.5</v>
      </c>
      <c r="N24" s="51">
        <f>N23/8</f>
        <v>-31565</v>
      </c>
    </row>
    <row r="25" spans="1:14" x14ac:dyDescent="0.25">
      <c r="I25" s="37"/>
      <c r="J25" s="37"/>
      <c r="K25" s="37"/>
    </row>
    <row r="26" spans="1:14" ht="15.75" customHeight="1" x14ac:dyDescent="0.25">
      <c r="I26" s="37"/>
      <c r="J26" s="37"/>
      <c r="K26" s="37"/>
    </row>
    <row r="27" spans="1:14" ht="15.75" customHeight="1" x14ac:dyDescent="0.25">
      <c r="I27" s="37"/>
      <c r="J27" s="37"/>
      <c r="K27" s="37"/>
    </row>
    <row r="28" spans="1:14" ht="15.75" customHeight="1" x14ac:dyDescent="0.25">
      <c r="I28" s="37"/>
      <c r="J28" s="37"/>
      <c r="K28" s="37"/>
    </row>
    <row r="29" spans="1:14" ht="15.75" customHeight="1" x14ac:dyDescent="0.25">
      <c r="I29" s="37"/>
      <c r="J29" s="37"/>
      <c r="K29" s="37"/>
    </row>
    <row r="30" spans="1:14" ht="15.75" customHeight="1" x14ac:dyDescent="0.25">
      <c r="I30" s="37"/>
      <c r="J30" s="37"/>
      <c r="K30" s="37"/>
    </row>
    <row r="31" spans="1:14" ht="15.75" customHeight="1" x14ac:dyDescent="0.25">
      <c r="I31" s="37"/>
      <c r="J31" s="37"/>
      <c r="K31" s="37"/>
    </row>
    <row r="32" spans="1:14" ht="15.75" customHeight="1" x14ac:dyDescent="0.25">
      <c r="I32" s="37"/>
      <c r="J32" s="37"/>
      <c r="K32" s="37"/>
    </row>
    <row r="33" spans="9:11" x14ac:dyDescent="0.25">
      <c r="I33" s="37"/>
      <c r="J33" s="37"/>
      <c r="K33" s="37"/>
    </row>
    <row r="34" spans="9:11" ht="15.75" customHeight="1" x14ac:dyDescent="0.25">
      <c r="I34" s="37"/>
      <c r="J34" s="37"/>
      <c r="K34" s="37"/>
    </row>
    <row r="35" spans="9:11" ht="15.75" customHeight="1" x14ac:dyDescent="0.25">
      <c r="I35" s="37"/>
      <c r="J35" s="37"/>
      <c r="K35" s="37"/>
    </row>
    <row r="36" spans="9:11" ht="15.75" customHeight="1" x14ac:dyDescent="0.25">
      <c r="I36" s="37"/>
      <c r="J36" s="37"/>
      <c r="K36" s="37"/>
    </row>
    <row r="37" spans="9:11" ht="15.75" customHeight="1" x14ac:dyDescent="0.25">
      <c r="I37" s="37"/>
      <c r="J37" s="37"/>
      <c r="K37" s="37"/>
    </row>
  </sheetData>
  <mergeCells count="14">
    <mergeCell ref="A16:N16"/>
    <mergeCell ref="A21:B21"/>
    <mergeCell ref="A23:B23"/>
    <mergeCell ref="A24:B24"/>
    <mergeCell ref="A2:N2"/>
    <mergeCell ref="C4:E4"/>
    <mergeCell ref="F4:H4"/>
    <mergeCell ref="I4:K4"/>
    <mergeCell ref="L4:N4"/>
    <mergeCell ref="A14:B14"/>
    <mergeCell ref="A4:A5"/>
    <mergeCell ref="B4:B5"/>
    <mergeCell ref="A15:B15"/>
    <mergeCell ref="A22:B22"/>
  </mergeCells>
  <pageMargins left="0.70000000000000007" right="0.70000000000000007" top="0.75" bottom="0.75" header="0.30000000000000004" footer="0.30000000000000004"/>
  <ignoredErrors>
    <ignoredError sqref="I24" formula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R29"/>
  <sheetViews>
    <sheetView topLeftCell="A4" workbookViewId="0">
      <selection activeCell="M35" sqref="M35"/>
    </sheetView>
  </sheetViews>
  <sheetFormatPr defaultRowHeight="15" x14ac:dyDescent="0.25"/>
  <cols>
    <col min="1" max="1" width="5.85546875" customWidth="1"/>
    <col min="2" max="2" width="27" customWidth="1"/>
    <col min="3" max="3" width="9.85546875" customWidth="1"/>
    <col min="4" max="4" width="8" customWidth="1"/>
    <col min="5" max="5" width="8.42578125" customWidth="1"/>
    <col min="6" max="6" width="8.140625" customWidth="1"/>
    <col min="7" max="7" width="8.42578125" customWidth="1"/>
    <col min="8" max="9" width="8.28515625" customWidth="1"/>
    <col min="10" max="10" width="8" customWidth="1"/>
    <col min="11" max="12" width="8.5703125" customWidth="1"/>
    <col min="13" max="13" width="8.28515625" customWidth="1"/>
    <col min="14" max="14" width="8" customWidth="1"/>
    <col min="15" max="15" width="8.42578125" customWidth="1"/>
    <col min="16" max="16" width="8.5703125" customWidth="1"/>
    <col min="17" max="17" width="8.42578125" customWidth="1"/>
    <col min="18" max="18" width="9.5703125" customWidth="1"/>
  </cols>
  <sheetData>
    <row r="2" spans="1:18" ht="15.75" x14ac:dyDescent="0.25">
      <c r="A2" s="139" t="s">
        <v>99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</row>
    <row r="3" spans="1:18" ht="15.75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</row>
    <row r="4" spans="1:18" ht="15.95" customHeight="1" x14ac:dyDescent="0.25">
      <c r="A4" s="113" t="s">
        <v>0</v>
      </c>
      <c r="B4" s="113" t="s">
        <v>1</v>
      </c>
      <c r="C4" s="126" t="s">
        <v>54</v>
      </c>
      <c r="D4" s="140"/>
      <c r="E4" s="140"/>
      <c r="F4" s="140"/>
      <c r="G4" s="140"/>
      <c r="H4" s="140"/>
      <c r="I4" s="140"/>
      <c r="J4" s="127"/>
      <c r="K4" s="126" t="s">
        <v>55</v>
      </c>
      <c r="L4" s="140"/>
      <c r="M4" s="140"/>
      <c r="N4" s="140"/>
      <c r="O4" s="140"/>
      <c r="P4" s="140"/>
      <c r="Q4" s="140"/>
      <c r="R4" s="127"/>
    </row>
    <row r="5" spans="1:18" ht="28.5" customHeight="1" x14ac:dyDescent="0.25">
      <c r="A5" s="113"/>
      <c r="B5" s="113"/>
      <c r="C5" s="126" t="s">
        <v>50</v>
      </c>
      <c r="D5" s="127"/>
      <c r="E5" s="126" t="s">
        <v>4</v>
      </c>
      <c r="F5" s="127"/>
      <c r="G5" s="126" t="s">
        <v>47</v>
      </c>
      <c r="H5" s="127"/>
      <c r="I5" s="126" t="s">
        <v>48</v>
      </c>
      <c r="J5" s="127"/>
      <c r="K5" s="126" t="s">
        <v>50</v>
      </c>
      <c r="L5" s="127"/>
      <c r="M5" s="126" t="s">
        <v>4</v>
      </c>
      <c r="N5" s="127"/>
      <c r="O5" s="126" t="s">
        <v>47</v>
      </c>
      <c r="P5" s="127"/>
      <c r="Q5" s="126" t="s">
        <v>48</v>
      </c>
      <c r="R5" s="127"/>
    </row>
    <row r="6" spans="1:18" ht="16.5" customHeight="1" x14ac:dyDescent="0.25">
      <c r="A6" s="113"/>
      <c r="B6" s="113"/>
      <c r="C6" s="22" t="s">
        <v>53</v>
      </c>
      <c r="D6" s="22" t="s">
        <v>44</v>
      </c>
      <c r="E6" s="22" t="s">
        <v>53</v>
      </c>
      <c r="F6" s="22" t="s">
        <v>44</v>
      </c>
      <c r="G6" s="22" t="s">
        <v>53</v>
      </c>
      <c r="H6" s="22" t="s">
        <v>44</v>
      </c>
      <c r="I6" s="22" t="s">
        <v>53</v>
      </c>
      <c r="J6" s="22" t="s">
        <v>44</v>
      </c>
      <c r="K6" s="22" t="s">
        <v>53</v>
      </c>
      <c r="L6" s="22" t="s">
        <v>44</v>
      </c>
      <c r="M6" s="22" t="s">
        <v>53</v>
      </c>
      <c r="N6" s="22" t="s">
        <v>44</v>
      </c>
      <c r="O6" s="22" t="s">
        <v>53</v>
      </c>
      <c r="P6" s="22" t="s">
        <v>44</v>
      </c>
      <c r="Q6" s="22" t="s">
        <v>53</v>
      </c>
      <c r="R6" s="22" t="s">
        <v>44</v>
      </c>
    </row>
    <row r="7" spans="1:18" ht="15.95" customHeight="1" x14ac:dyDescent="0.25">
      <c r="A7" s="25" t="s">
        <v>8</v>
      </c>
      <c r="B7" s="26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8"/>
    </row>
    <row r="8" spans="1:18" ht="15.95" customHeight="1" x14ac:dyDescent="0.25">
      <c r="A8" s="15" t="s">
        <v>9</v>
      </c>
      <c r="B8" s="18" t="s">
        <v>10</v>
      </c>
      <c r="C8" s="92">
        <v>316562</v>
      </c>
      <c r="D8" s="86">
        <f>C8*100/579929</f>
        <v>54.586337293013457</v>
      </c>
      <c r="E8" s="45">
        <v>72282</v>
      </c>
      <c r="F8" s="20">
        <f>E8*100/168696</f>
        <v>42.847488974249536</v>
      </c>
      <c r="G8" s="45">
        <v>244280</v>
      </c>
      <c r="H8" s="20">
        <f>G8*100/411233</f>
        <v>59.401847614369473</v>
      </c>
      <c r="I8" s="45" t="s">
        <v>12</v>
      </c>
      <c r="J8" s="20" t="s">
        <v>12</v>
      </c>
      <c r="K8" s="45">
        <v>108638</v>
      </c>
      <c r="L8" s="93">
        <f>K8*100/579929</f>
        <v>18.732982830656855</v>
      </c>
      <c r="M8" s="45">
        <v>57213</v>
      </c>
      <c r="N8" s="86">
        <f>M8*100/168696</f>
        <v>33.914852752880925</v>
      </c>
      <c r="O8" s="45">
        <v>51425</v>
      </c>
      <c r="P8" s="86">
        <f>O8*100/411233</f>
        <v>12.505076197678688</v>
      </c>
      <c r="Q8" s="85" t="s">
        <v>12</v>
      </c>
      <c r="R8" s="86" t="s">
        <v>12</v>
      </c>
    </row>
    <row r="9" spans="1:18" ht="15.95" customHeight="1" x14ac:dyDescent="0.25">
      <c r="A9" s="15" t="s">
        <v>13</v>
      </c>
      <c r="B9" s="18" t="s">
        <v>14</v>
      </c>
      <c r="C9" s="45">
        <v>128366</v>
      </c>
      <c r="D9" s="20">
        <f>C9*100/215340</f>
        <v>59.610847961363426</v>
      </c>
      <c r="E9" s="45">
        <v>33357</v>
      </c>
      <c r="F9" s="20">
        <f>E9*100/45831</f>
        <v>72.782614387641559</v>
      </c>
      <c r="G9" s="79">
        <v>7180</v>
      </c>
      <c r="H9" s="80">
        <f>G9*100/15583</f>
        <v>46.075851889879999</v>
      </c>
      <c r="I9" s="79">
        <v>87829</v>
      </c>
      <c r="J9" s="80">
        <f>I9*100/153926</f>
        <v>57.059236256382938</v>
      </c>
      <c r="K9" s="56">
        <v>86974</v>
      </c>
      <c r="L9" s="73">
        <f>K9*100/215340</f>
        <v>40.389152038636574</v>
      </c>
      <c r="M9" s="56">
        <v>12474</v>
      </c>
      <c r="N9" s="73">
        <f>M9*100/45831</f>
        <v>27.217385612358449</v>
      </c>
      <c r="O9" s="56">
        <v>8403</v>
      </c>
      <c r="P9" s="73">
        <f>O9*100/15583</f>
        <v>53.924148110120001</v>
      </c>
      <c r="Q9" s="56">
        <v>66097</v>
      </c>
      <c r="R9" s="73">
        <f>Q9*100/153926</f>
        <v>42.940763743617062</v>
      </c>
    </row>
    <row r="10" spans="1:18" ht="15.95" customHeight="1" x14ac:dyDescent="0.25">
      <c r="A10" s="15" t="s">
        <v>15</v>
      </c>
      <c r="B10" s="18" t="s">
        <v>16</v>
      </c>
      <c r="C10" s="45">
        <v>87308</v>
      </c>
      <c r="D10" s="20">
        <f>C10*100/165316</f>
        <v>52.812794889786829</v>
      </c>
      <c r="E10" s="45">
        <v>35165</v>
      </c>
      <c r="F10" s="20">
        <f>E10*100/62944</f>
        <v>55.867119979664466</v>
      </c>
      <c r="G10" s="79">
        <v>7832</v>
      </c>
      <c r="H10" s="80">
        <f>G10*100/16592</f>
        <v>47.203471552555449</v>
      </c>
      <c r="I10" s="79">
        <v>44311</v>
      </c>
      <c r="J10" s="80">
        <f>I10*100/85780</f>
        <v>51.656563301468871</v>
      </c>
      <c r="K10" s="56">
        <v>78008</v>
      </c>
      <c r="L10" s="73">
        <f>K10*100/165316</f>
        <v>47.187205110213171</v>
      </c>
      <c r="M10" s="56">
        <v>27779</v>
      </c>
      <c r="N10" s="73">
        <f>M10*100/62944</f>
        <v>44.132880020335534</v>
      </c>
      <c r="O10" s="56">
        <v>8760</v>
      </c>
      <c r="P10" s="73">
        <f>O10*100/16592</f>
        <v>52.796528447444551</v>
      </c>
      <c r="Q10" s="56">
        <v>41469</v>
      </c>
      <c r="R10" s="73">
        <f>Q10*100/85780</f>
        <v>48.343436698531129</v>
      </c>
    </row>
    <row r="11" spans="1:18" ht="15.95" customHeight="1" x14ac:dyDescent="0.25">
      <c r="A11" s="15" t="s">
        <v>17</v>
      </c>
      <c r="B11" s="18" t="s">
        <v>18</v>
      </c>
      <c r="C11" s="45">
        <v>11483</v>
      </c>
      <c r="D11" s="20">
        <f>11483*100/21137</f>
        <v>54.32653640535554</v>
      </c>
      <c r="E11" s="45">
        <v>4979</v>
      </c>
      <c r="F11" s="20">
        <f>E11*100/9280</f>
        <v>53.65301724137931</v>
      </c>
      <c r="G11" s="79">
        <v>6504</v>
      </c>
      <c r="H11" s="80">
        <f>G11*100/11857</f>
        <v>54.853672935818501</v>
      </c>
      <c r="I11" s="79" t="s">
        <v>12</v>
      </c>
      <c r="J11" s="80" t="s">
        <v>12</v>
      </c>
      <c r="K11" s="56">
        <v>1779</v>
      </c>
      <c r="L11" s="73">
        <f>K11*100/21137</f>
        <v>8.4165207929223644</v>
      </c>
      <c r="M11" s="56">
        <v>1090</v>
      </c>
      <c r="N11" s="73">
        <f>M11*100/9280</f>
        <v>11.745689655172415</v>
      </c>
      <c r="O11" s="56">
        <v>689</v>
      </c>
      <c r="P11" s="73">
        <f>O11*100/11857</f>
        <v>5.8109133844986083</v>
      </c>
      <c r="Q11" s="56" t="s">
        <v>12</v>
      </c>
      <c r="R11" s="73" t="s">
        <v>12</v>
      </c>
    </row>
    <row r="12" spans="1:18" ht="15.95" customHeight="1" x14ac:dyDescent="0.25">
      <c r="A12" s="15" t="s">
        <v>19</v>
      </c>
      <c r="B12" s="18" t="s">
        <v>20</v>
      </c>
      <c r="C12" s="45">
        <v>41866</v>
      </c>
      <c r="D12" s="20">
        <f>C12*100/100886</f>
        <v>41.498324841900761</v>
      </c>
      <c r="E12" s="45">
        <f>35758+6108</f>
        <v>41866</v>
      </c>
      <c r="F12" s="20">
        <f>E12*100/100886</f>
        <v>41.498324841900761</v>
      </c>
      <c r="G12" s="16" t="s">
        <v>12</v>
      </c>
      <c r="H12" s="20" t="s">
        <v>12</v>
      </c>
      <c r="I12" s="16" t="s">
        <v>12</v>
      </c>
      <c r="J12" s="20" t="s">
        <v>12</v>
      </c>
      <c r="K12" s="45">
        <v>28319</v>
      </c>
      <c r="L12" s="86">
        <f>K12*100/100886</f>
        <v>28.070297167099497</v>
      </c>
      <c r="M12" s="45">
        <f>24285+4034</f>
        <v>28319</v>
      </c>
      <c r="N12" s="86">
        <f>M12*100/100886</f>
        <v>28.070297167099497</v>
      </c>
      <c r="O12" s="85" t="s">
        <v>12</v>
      </c>
      <c r="P12" s="86" t="s">
        <v>12</v>
      </c>
      <c r="Q12" s="85" t="s">
        <v>12</v>
      </c>
      <c r="R12" s="86" t="s">
        <v>12</v>
      </c>
    </row>
    <row r="13" spans="1:18" ht="15.95" customHeight="1" x14ac:dyDescent="0.25">
      <c r="A13" s="15" t="s">
        <v>21</v>
      </c>
      <c r="B13" s="18" t="s">
        <v>22</v>
      </c>
      <c r="C13" s="45">
        <v>34298</v>
      </c>
      <c r="D13" s="20">
        <f>C13*100/102543</f>
        <v>33.447431809094724</v>
      </c>
      <c r="E13" s="45">
        <v>12395</v>
      </c>
      <c r="F13" s="20">
        <f>E13*100/32619</f>
        <v>37.999325546460653</v>
      </c>
      <c r="G13" s="45">
        <v>2374</v>
      </c>
      <c r="H13" s="20">
        <f>G13*100/4490</f>
        <v>52.873051224944319</v>
      </c>
      <c r="I13" s="45">
        <v>19529</v>
      </c>
      <c r="J13" s="20">
        <f>I13*100/65434</f>
        <v>29.845340342940979</v>
      </c>
      <c r="K13" s="45">
        <v>5071</v>
      </c>
      <c r="L13" s="86">
        <f>K13*100/102543</f>
        <v>4.9452424836410094</v>
      </c>
      <c r="M13" s="45">
        <v>2159</v>
      </c>
      <c r="N13" s="86">
        <f>M13*100/32619</f>
        <v>6.6188417793310643</v>
      </c>
      <c r="O13" s="45">
        <v>144</v>
      </c>
      <c r="P13" s="86">
        <f>O13*100/4490</f>
        <v>3.2071269487750556</v>
      </c>
      <c r="Q13" s="45">
        <v>2768</v>
      </c>
      <c r="R13" s="86">
        <f>Q13*100/65434</f>
        <v>4.2302167069107801</v>
      </c>
    </row>
    <row r="14" spans="1:18" ht="15.95" customHeight="1" x14ac:dyDescent="0.25">
      <c r="A14" s="15" t="s">
        <v>23</v>
      </c>
      <c r="B14" s="18" t="s">
        <v>24</v>
      </c>
      <c r="C14" s="45">
        <v>87354</v>
      </c>
      <c r="D14" s="20">
        <f>C14*100/165332</f>
        <v>52.835506737957566</v>
      </c>
      <c r="E14" s="45">
        <v>26178</v>
      </c>
      <c r="F14" s="20">
        <f>E14*100/45322</f>
        <v>57.760028242354707</v>
      </c>
      <c r="G14" s="79" t="s">
        <v>12</v>
      </c>
      <c r="H14" s="80" t="s">
        <v>12</v>
      </c>
      <c r="I14" s="79">
        <v>61176</v>
      </c>
      <c r="J14" s="80">
        <f>I14*100/120010</f>
        <v>50.975752020664942</v>
      </c>
      <c r="K14" s="56">
        <v>30386</v>
      </c>
      <c r="L14" s="73">
        <f>K14*100/165332</f>
        <v>18.378777248203615</v>
      </c>
      <c r="M14" s="56">
        <v>16730</v>
      </c>
      <c r="N14" s="73">
        <f>M14*100/45322</f>
        <v>36.913640174749567</v>
      </c>
      <c r="O14" s="56" t="s">
        <v>12</v>
      </c>
      <c r="P14" s="73" t="s">
        <v>12</v>
      </c>
      <c r="Q14" s="56">
        <v>13656</v>
      </c>
      <c r="R14" s="73">
        <f>Q14*100/120010</f>
        <v>11.379051745687859</v>
      </c>
    </row>
    <row r="15" spans="1:18" ht="15.95" customHeight="1" x14ac:dyDescent="0.25">
      <c r="A15" s="160" t="s">
        <v>31</v>
      </c>
      <c r="B15" s="160"/>
      <c r="C15" s="21">
        <f t="shared" ref="C15:R15" si="0">SUM(C8:C14)</f>
        <v>707237</v>
      </c>
      <c r="D15" s="39">
        <f t="shared" si="0"/>
        <v>349.11777993847232</v>
      </c>
      <c r="E15" s="21">
        <f t="shared" si="0"/>
        <v>226222</v>
      </c>
      <c r="F15" s="39">
        <f t="shared" si="0"/>
        <v>362.40791921365098</v>
      </c>
      <c r="G15" s="21">
        <f t="shared" si="0"/>
        <v>268170</v>
      </c>
      <c r="H15" s="39">
        <f t="shared" si="0"/>
        <v>260.40789521756773</v>
      </c>
      <c r="I15" s="21">
        <f t="shared" si="0"/>
        <v>212845</v>
      </c>
      <c r="J15" s="39">
        <f t="shared" si="0"/>
        <v>189.53689192145774</v>
      </c>
      <c r="K15" s="58">
        <f t="shared" si="0"/>
        <v>339175</v>
      </c>
      <c r="L15" s="74">
        <f t="shared" si="0"/>
        <v>166.12017767137311</v>
      </c>
      <c r="M15" s="58">
        <f t="shared" si="0"/>
        <v>145764</v>
      </c>
      <c r="N15" s="74">
        <f t="shared" si="0"/>
        <v>188.61358716192743</v>
      </c>
      <c r="O15" s="58">
        <f t="shared" si="0"/>
        <v>69421</v>
      </c>
      <c r="P15" s="74">
        <f t="shared" si="0"/>
        <v>128.2437930885169</v>
      </c>
      <c r="Q15" s="59">
        <f t="shared" si="0"/>
        <v>123990</v>
      </c>
      <c r="R15" s="74">
        <f t="shared" si="0"/>
        <v>106.89346889474683</v>
      </c>
    </row>
    <row r="16" spans="1:18" ht="15.95" customHeight="1" x14ac:dyDescent="0.25">
      <c r="A16" s="162" t="s">
        <v>33</v>
      </c>
      <c r="B16" s="162"/>
      <c r="C16" s="21">
        <f>C15/7</f>
        <v>101033.85714285714</v>
      </c>
      <c r="D16" s="39">
        <f>D15/7</f>
        <v>49.8739685626389</v>
      </c>
      <c r="E16" s="21">
        <f>E15/7</f>
        <v>32317.428571428572</v>
      </c>
      <c r="F16" s="39">
        <f>F15/7</f>
        <v>51.772559887664428</v>
      </c>
      <c r="G16" s="54">
        <f>G15/5</f>
        <v>53634</v>
      </c>
      <c r="H16" s="39">
        <f>H15/5</f>
        <v>52.081579043513543</v>
      </c>
      <c r="I16" s="54">
        <f>I15/4</f>
        <v>53211.25</v>
      </c>
      <c r="J16" s="39">
        <f>J15/4</f>
        <v>47.384222980364434</v>
      </c>
      <c r="K16" s="59">
        <f>K15/7</f>
        <v>48453.571428571428</v>
      </c>
      <c r="L16" s="74">
        <f>L15/7</f>
        <v>23.7314539530533</v>
      </c>
      <c r="M16" s="59">
        <f>M15/7</f>
        <v>20823.428571428572</v>
      </c>
      <c r="N16" s="74">
        <f>N15/7</f>
        <v>26.944798165989631</v>
      </c>
      <c r="O16" s="59">
        <f>O15/5</f>
        <v>13884.2</v>
      </c>
      <c r="P16" s="74">
        <f>P15/5</f>
        <v>25.648758617703379</v>
      </c>
      <c r="Q16" s="59">
        <f>Q15/4</f>
        <v>30997.5</v>
      </c>
      <c r="R16" s="74">
        <f>R15/4</f>
        <v>26.723367223686708</v>
      </c>
    </row>
    <row r="17" spans="1:18" ht="15.95" customHeight="1" x14ac:dyDescent="0.25">
      <c r="A17" s="136" t="s">
        <v>25</v>
      </c>
      <c r="B17" s="137"/>
      <c r="C17" s="137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8"/>
    </row>
    <row r="18" spans="1:18" ht="15.95" customHeight="1" x14ac:dyDescent="0.25">
      <c r="A18" s="15" t="s">
        <v>9</v>
      </c>
      <c r="B18" s="18" t="s">
        <v>26</v>
      </c>
      <c r="C18" s="45">
        <v>67148</v>
      </c>
      <c r="D18" s="20">
        <f>C18*100/127466</f>
        <v>52.679145811432065</v>
      </c>
      <c r="E18" s="45">
        <v>21502</v>
      </c>
      <c r="F18" s="20">
        <f>E18*100/33461</f>
        <v>64.259884641821827</v>
      </c>
      <c r="G18" s="79">
        <v>5176</v>
      </c>
      <c r="H18" s="80">
        <f>G18*100/7143</f>
        <v>72.462550748985024</v>
      </c>
      <c r="I18" s="79">
        <v>40470</v>
      </c>
      <c r="J18" s="80">
        <f>I18*100/86862</f>
        <v>46.591144574152104</v>
      </c>
      <c r="K18" s="56">
        <v>60318</v>
      </c>
      <c r="L18" s="73">
        <f>K18*100/127466</f>
        <v>47.320854188567935</v>
      </c>
      <c r="M18" s="56">
        <v>11959</v>
      </c>
      <c r="N18" s="73">
        <f>M18*100/33461</f>
        <v>35.74011535817818</v>
      </c>
      <c r="O18" s="56">
        <v>1967</v>
      </c>
      <c r="P18" s="73">
        <f>O18*100/7143</f>
        <v>27.53744925101498</v>
      </c>
      <c r="Q18" s="56">
        <v>46392</v>
      </c>
      <c r="R18" s="73">
        <f>65005*100/86862</f>
        <v>74.837097925444965</v>
      </c>
    </row>
    <row r="19" spans="1:18" ht="15.95" customHeight="1" x14ac:dyDescent="0.25">
      <c r="A19" s="15" t="s">
        <v>13</v>
      </c>
      <c r="B19" s="18" t="s">
        <v>27</v>
      </c>
      <c r="C19" s="45">
        <v>8701</v>
      </c>
      <c r="D19" s="20">
        <f>C19*100/34473</f>
        <v>25.240042932149798</v>
      </c>
      <c r="E19" s="45">
        <v>3886</v>
      </c>
      <c r="F19" s="20">
        <f>E19*100/8081</f>
        <v>48.088107907437198</v>
      </c>
      <c r="G19" s="16" t="s">
        <v>12</v>
      </c>
      <c r="H19" s="20" t="s">
        <v>12</v>
      </c>
      <c r="I19" s="16">
        <v>4815</v>
      </c>
      <c r="J19" s="20">
        <f>I19*100/26392</f>
        <v>18.244164898454077</v>
      </c>
      <c r="K19" s="85">
        <v>1225</v>
      </c>
      <c r="L19" s="86">
        <f>K19*100/34473</f>
        <v>3.5535056420967135</v>
      </c>
      <c r="M19" s="85">
        <v>595</v>
      </c>
      <c r="N19" s="86">
        <f>M19*100/8081</f>
        <v>7.362950129934414</v>
      </c>
      <c r="O19" s="85" t="s">
        <v>12</v>
      </c>
      <c r="P19" s="86" t="s">
        <v>12</v>
      </c>
      <c r="Q19" s="85">
        <v>630</v>
      </c>
      <c r="R19" s="86">
        <f>Q19*100/26392</f>
        <v>2.3870869960594119</v>
      </c>
    </row>
    <row r="20" spans="1:18" ht="15.95" customHeight="1" x14ac:dyDescent="0.25">
      <c r="A20" s="15" t="s">
        <v>15</v>
      </c>
      <c r="B20" s="18" t="s">
        <v>28</v>
      </c>
      <c r="C20" s="45">
        <v>42299</v>
      </c>
      <c r="D20" s="20">
        <f>C20*100/95922</f>
        <v>44.097287379329039</v>
      </c>
      <c r="E20" s="45">
        <v>15347</v>
      </c>
      <c r="F20" s="20">
        <f>E20*100/30843</f>
        <v>49.75845410628019</v>
      </c>
      <c r="G20" s="16" t="s">
        <v>12</v>
      </c>
      <c r="H20" s="20" t="s">
        <v>12</v>
      </c>
      <c r="I20" s="16">
        <v>26952</v>
      </c>
      <c r="J20" s="20">
        <f>I20*100/65079</f>
        <v>41.414281104503758</v>
      </c>
      <c r="K20" s="85">
        <v>7888</v>
      </c>
      <c r="L20" s="86">
        <f>K20*100/95922</f>
        <v>8.223348137028001</v>
      </c>
      <c r="M20" s="85">
        <v>1444</v>
      </c>
      <c r="N20" s="86">
        <f>M20*100/30843</f>
        <v>4.6817754433745096</v>
      </c>
      <c r="O20" s="85" t="s">
        <v>12</v>
      </c>
      <c r="P20" s="86" t="s">
        <v>12</v>
      </c>
      <c r="Q20" s="85">
        <v>6444</v>
      </c>
      <c r="R20" s="86">
        <f>Q20*100/65079</f>
        <v>9.901811644309225</v>
      </c>
    </row>
    <row r="21" spans="1:18" ht="15.95" customHeight="1" x14ac:dyDescent="0.25">
      <c r="A21" s="15" t="s">
        <v>17</v>
      </c>
      <c r="B21" s="18" t="s">
        <v>29</v>
      </c>
      <c r="C21" s="45">
        <v>80537</v>
      </c>
      <c r="D21" s="20">
        <f>C21*100/145021</f>
        <v>55.534715661869662</v>
      </c>
      <c r="E21" s="45">
        <v>37725</v>
      </c>
      <c r="F21" s="20">
        <f>E21*100/62691</f>
        <v>60.176101832798963</v>
      </c>
      <c r="G21" s="16">
        <v>5285</v>
      </c>
      <c r="H21" s="20">
        <f>G21*100/8985</f>
        <v>58.820255982192542</v>
      </c>
      <c r="I21" s="79">
        <v>37527</v>
      </c>
      <c r="J21" s="80">
        <f>I21*100/73345</f>
        <v>51.165041925148273</v>
      </c>
      <c r="K21" s="56">
        <v>18659</v>
      </c>
      <c r="L21" s="73">
        <f>K21*100/145021</f>
        <v>12.866412450610602</v>
      </c>
      <c r="M21" s="56">
        <v>8100</v>
      </c>
      <c r="N21" s="73">
        <f>M21*100/62691</f>
        <v>12.920514906445902</v>
      </c>
      <c r="O21" s="85">
        <v>1244</v>
      </c>
      <c r="P21" s="86">
        <f>O21*100/8985</f>
        <v>13.845297718419587</v>
      </c>
      <c r="Q21" s="56">
        <v>9315</v>
      </c>
      <c r="R21" s="73">
        <f>Q21*100/73345</f>
        <v>12.700252232599359</v>
      </c>
    </row>
    <row r="22" spans="1:18" ht="15.95" customHeight="1" x14ac:dyDescent="0.25">
      <c r="A22" s="160" t="s">
        <v>31</v>
      </c>
      <c r="B22" s="160"/>
      <c r="C22" s="21">
        <f t="shared" ref="C22:R22" si="1">SUM(C18:C21)</f>
        <v>198685</v>
      </c>
      <c r="D22" s="39">
        <f t="shared" si="1"/>
        <v>177.55119178478054</v>
      </c>
      <c r="E22" s="21">
        <f t="shared" si="1"/>
        <v>78460</v>
      </c>
      <c r="F22" s="39">
        <f t="shared" si="1"/>
        <v>222.28254848833819</v>
      </c>
      <c r="G22" s="54">
        <f t="shared" si="1"/>
        <v>10461</v>
      </c>
      <c r="H22" s="39">
        <f t="shared" si="1"/>
        <v>131.28280673117757</v>
      </c>
      <c r="I22" s="54">
        <f t="shared" si="1"/>
        <v>109764</v>
      </c>
      <c r="J22" s="39">
        <f t="shared" si="1"/>
        <v>157.4146325022582</v>
      </c>
      <c r="K22" s="59">
        <f t="shared" si="1"/>
        <v>88090</v>
      </c>
      <c r="L22" s="74">
        <f t="shared" si="1"/>
        <v>71.964120418303253</v>
      </c>
      <c r="M22" s="59">
        <f t="shared" si="1"/>
        <v>22098</v>
      </c>
      <c r="N22" s="74">
        <f t="shared" si="1"/>
        <v>60.705355837933006</v>
      </c>
      <c r="O22" s="59">
        <f t="shared" si="1"/>
        <v>3211</v>
      </c>
      <c r="P22" s="74">
        <f t="shared" si="1"/>
        <v>41.382746969434564</v>
      </c>
      <c r="Q22" s="59">
        <f t="shared" si="1"/>
        <v>62781</v>
      </c>
      <c r="R22" s="74">
        <f t="shared" si="1"/>
        <v>99.826248798412948</v>
      </c>
    </row>
    <row r="23" spans="1:18" ht="15.95" customHeight="1" x14ac:dyDescent="0.25">
      <c r="A23" s="162" t="s">
        <v>33</v>
      </c>
      <c r="B23" s="162"/>
      <c r="C23" s="21">
        <f>C22/4</f>
        <v>49671.25</v>
      </c>
      <c r="D23" s="39">
        <f>D22/4</f>
        <v>44.387797946195136</v>
      </c>
      <c r="E23" s="21">
        <f>E22/4</f>
        <v>19615</v>
      </c>
      <c r="F23" s="39">
        <f>F22/4</f>
        <v>55.570637122084548</v>
      </c>
      <c r="G23" s="54">
        <f>G22/2</f>
        <v>5230.5</v>
      </c>
      <c r="H23" s="39">
        <f>H22/2</f>
        <v>65.641403365588786</v>
      </c>
      <c r="I23" s="54">
        <f t="shared" ref="I23:N23" si="2">I22/4</f>
        <v>27441</v>
      </c>
      <c r="J23" s="39">
        <f t="shared" si="2"/>
        <v>39.35365812556455</v>
      </c>
      <c r="K23" s="59">
        <f t="shared" si="2"/>
        <v>22022.5</v>
      </c>
      <c r="L23" s="74">
        <f t="shared" si="2"/>
        <v>17.991030104575813</v>
      </c>
      <c r="M23" s="59">
        <f t="shared" si="2"/>
        <v>5524.5</v>
      </c>
      <c r="N23" s="74">
        <f t="shared" si="2"/>
        <v>15.176338959483251</v>
      </c>
      <c r="O23" s="59">
        <f>O22/2</f>
        <v>1605.5</v>
      </c>
      <c r="P23" s="74">
        <f>P22/2</f>
        <v>20.691373484717282</v>
      </c>
      <c r="Q23" s="59">
        <f>Q22/4</f>
        <v>15695.25</v>
      </c>
      <c r="R23" s="74">
        <f>R22/4</f>
        <v>24.956562199603237</v>
      </c>
    </row>
    <row r="24" spans="1:18" ht="28.5" customHeight="1" x14ac:dyDescent="0.25">
      <c r="A24" s="161" t="s">
        <v>30</v>
      </c>
      <c r="B24" s="161"/>
      <c r="C24" s="51">
        <f t="shared" ref="C24:H24" si="3">SUM(C15,C22)</f>
        <v>905922</v>
      </c>
      <c r="D24" s="66">
        <f t="shared" si="3"/>
        <v>526.66897172325287</v>
      </c>
      <c r="E24" s="51">
        <f t="shared" si="3"/>
        <v>304682</v>
      </c>
      <c r="F24" s="66">
        <f t="shared" si="3"/>
        <v>584.69046770198918</v>
      </c>
      <c r="G24" s="51">
        <f t="shared" si="3"/>
        <v>278631</v>
      </c>
      <c r="H24" s="66">
        <f t="shared" si="3"/>
        <v>391.6907019487453</v>
      </c>
      <c r="I24" s="66">
        <f>SUM(J15,J22)</f>
        <v>346.95152442371591</v>
      </c>
      <c r="J24" s="66">
        <f t="shared" ref="J24:R24" si="4">SUM(J15,J22)</f>
        <v>346.95152442371591</v>
      </c>
      <c r="K24" s="61">
        <f t="shared" si="4"/>
        <v>427265</v>
      </c>
      <c r="L24" s="75">
        <f t="shared" si="4"/>
        <v>238.08429808967637</v>
      </c>
      <c r="M24" s="61">
        <f t="shared" si="4"/>
        <v>167862</v>
      </c>
      <c r="N24" s="75">
        <f t="shared" si="4"/>
        <v>249.31894299986044</v>
      </c>
      <c r="O24" s="61">
        <f t="shared" si="4"/>
        <v>72632</v>
      </c>
      <c r="P24" s="75">
        <f t="shared" si="4"/>
        <v>169.62654005795144</v>
      </c>
      <c r="Q24" s="87">
        <f t="shared" si="4"/>
        <v>186771</v>
      </c>
      <c r="R24" s="75">
        <f t="shared" si="4"/>
        <v>206.71971769315979</v>
      </c>
    </row>
    <row r="25" spans="1:18" ht="35.25" customHeight="1" x14ac:dyDescent="0.25">
      <c r="A25" s="106" t="s">
        <v>32</v>
      </c>
      <c r="B25" s="107"/>
      <c r="C25" s="51">
        <f>C24/11</f>
        <v>82356.545454545456</v>
      </c>
      <c r="D25" s="66">
        <f>D24/11</f>
        <v>47.878997429386622</v>
      </c>
      <c r="E25" s="51">
        <f>E24/11</f>
        <v>27698.363636363636</v>
      </c>
      <c r="F25" s="66">
        <f>F24/11</f>
        <v>53.153678881999014</v>
      </c>
      <c r="G25" s="51">
        <f>G24/7</f>
        <v>39804.428571428572</v>
      </c>
      <c r="H25" s="88">
        <f>H24/7</f>
        <v>55.955814564106468</v>
      </c>
      <c r="I25" s="51">
        <f>I24/8</f>
        <v>43.368940552964489</v>
      </c>
      <c r="J25" s="66">
        <f>J24/8</f>
        <v>43.368940552964489</v>
      </c>
      <c r="K25" s="87">
        <f>K24/11</f>
        <v>38842.272727272728</v>
      </c>
      <c r="L25" s="75">
        <f>L24/11</f>
        <v>21.644027099061489</v>
      </c>
      <c r="M25" s="87">
        <f>M24/11</f>
        <v>15260.181818181818</v>
      </c>
      <c r="N25" s="75">
        <f>N24/11</f>
        <v>22.665358454532768</v>
      </c>
      <c r="O25" s="87">
        <f>O24/7</f>
        <v>10376</v>
      </c>
      <c r="P25" s="75">
        <f>P24/7</f>
        <v>24.232362865421635</v>
      </c>
      <c r="Q25" s="87">
        <f>Q24/8</f>
        <v>23346.375</v>
      </c>
      <c r="R25" s="75">
        <f>R24/8</f>
        <v>25.839964711644974</v>
      </c>
    </row>
    <row r="27" spans="1:18" x14ac:dyDescent="0.25">
      <c r="A27" t="s">
        <v>69</v>
      </c>
    </row>
    <row r="29" spans="1:18" ht="28.5" x14ac:dyDescent="0.45">
      <c r="J29" s="90"/>
    </row>
  </sheetData>
  <mergeCells count="20">
    <mergeCell ref="A2:R2"/>
    <mergeCell ref="C4:J4"/>
    <mergeCell ref="K4:R4"/>
    <mergeCell ref="K5:L5"/>
    <mergeCell ref="M5:N5"/>
    <mergeCell ref="O5:P5"/>
    <mergeCell ref="Q5:R5"/>
    <mergeCell ref="G5:H5"/>
    <mergeCell ref="I5:J5"/>
    <mergeCell ref="A22:B22"/>
    <mergeCell ref="A24:B24"/>
    <mergeCell ref="A25:B25"/>
    <mergeCell ref="C5:D5"/>
    <mergeCell ref="E5:F5"/>
    <mergeCell ref="A17:R17"/>
    <mergeCell ref="A15:B15"/>
    <mergeCell ref="A4:A6"/>
    <mergeCell ref="B4:B6"/>
    <mergeCell ref="A16:B16"/>
    <mergeCell ref="A23:B23"/>
  </mergeCells>
  <pageMargins left="0.70000000000000007" right="0.70000000000000007" top="0.75" bottom="0.75" header="0.30000000000000004" footer="0.30000000000000004"/>
  <pageSetup orientation="portrait" r:id="rId1"/>
  <ignoredErrors>
    <ignoredError sqref="I24 E12 M12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J29"/>
  <sheetViews>
    <sheetView tabSelected="1" topLeftCell="A25" workbookViewId="0">
      <selection activeCell="P36" sqref="P36"/>
    </sheetView>
  </sheetViews>
  <sheetFormatPr defaultRowHeight="15" x14ac:dyDescent="0.25"/>
  <cols>
    <col min="1" max="1" width="5.28515625" customWidth="1"/>
    <col min="2" max="2" width="28.140625" customWidth="1"/>
    <col min="3" max="3" width="8.7109375" customWidth="1"/>
    <col min="4" max="4" width="9.7109375" customWidth="1"/>
    <col min="5" max="5" width="8.7109375" customWidth="1"/>
    <col min="6" max="6" width="8.140625" customWidth="1"/>
    <col min="7" max="7" width="8.42578125" customWidth="1"/>
    <col min="8" max="8" width="8.140625" customWidth="1"/>
    <col min="9" max="9" width="8.5703125" customWidth="1"/>
    <col min="10" max="10" width="8.140625" customWidth="1"/>
  </cols>
  <sheetData>
    <row r="2" spans="1:10" ht="15.75" x14ac:dyDescent="0.25">
      <c r="A2" s="146" t="s">
        <v>57</v>
      </c>
      <c r="B2" s="146"/>
      <c r="C2" s="146"/>
      <c r="D2" s="146"/>
      <c r="E2" s="146"/>
      <c r="F2" s="146"/>
      <c r="G2" s="146"/>
      <c r="H2" s="146"/>
      <c r="I2" s="146"/>
      <c r="J2" s="146"/>
    </row>
    <row r="3" spans="1:10" ht="15.75" x14ac:dyDescent="0.25">
      <c r="A3" s="146" t="s">
        <v>100</v>
      </c>
      <c r="B3" s="146"/>
      <c r="C3" s="146"/>
      <c r="D3" s="146"/>
      <c r="E3" s="146"/>
      <c r="F3" s="146"/>
      <c r="G3" s="146"/>
      <c r="H3" s="146"/>
      <c r="I3" s="146"/>
      <c r="J3" s="146"/>
    </row>
    <row r="4" spans="1:10" ht="15.75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</row>
    <row r="5" spans="1:10" ht="15.95" customHeight="1" x14ac:dyDescent="0.25">
      <c r="A5" s="113" t="s">
        <v>0</v>
      </c>
      <c r="B5" s="113" t="s">
        <v>1</v>
      </c>
      <c r="C5" s="113" t="s">
        <v>56</v>
      </c>
      <c r="D5" s="113"/>
      <c r="E5" s="113"/>
      <c r="F5" s="113"/>
      <c r="G5" s="113"/>
      <c r="H5" s="113"/>
      <c r="I5" s="113"/>
      <c r="J5" s="113"/>
    </row>
    <row r="6" spans="1:10" ht="12.75" customHeight="1" x14ac:dyDescent="0.25">
      <c r="A6" s="113"/>
      <c r="B6" s="113"/>
      <c r="C6" s="130" t="s">
        <v>50</v>
      </c>
      <c r="D6" s="128"/>
      <c r="E6" s="130" t="s">
        <v>4</v>
      </c>
      <c r="F6" s="128"/>
      <c r="G6" s="130" t="s">
        <v>47</v>
      </c>
      <c r="H6" s="128"/>
      <c r="I6" s="130" t="s">
        <v>48</v>
      </c>
      <c r="J6" s="128"/>
    </row>
    <row r="7" spans="1:10" ht="15" customHeight="1" x14ac:dyDescent="0.25">
      <c r="A7" s="113"/>
      <c r="B7" s="113"/>
      <c r="C7" s="132"/>
      <c r="D7" s="129"/>
      <c r="E7" s="132"/>
      <c r="F7" s="129"/>
      <c r="G7" s="132"/>
      <c r="H7" s="129"/>
      <c r="I7" s="132"/>
      <c r="J7" s="129"/>
    </row>
    <row r="8" spans="1:10" ht="18" customHeight="1" x14ac:dyDescent="0.25">
      <c r="A8" s="113"/>
      <c r="B8" s="113"/>
      <c r="C8" s="22" t="s">
        <v>53</v>
      </c>
      <c r="D8" s="22" t="s">
        <v>44</v>
      </c>
      <c r="E8" s="22" t="s">
        <v>53</v>
      </c>
      <c r="F8" s="22" t="s">
        <v>44</v>
      </c>
      <c r="G8" s="22" t="s">
        <v>53</v>
      </c>
      <c r="H8" s="22" t="s">
        <v>44</v>
      </c>
      <c r="I8" s="22" t="s">
        <v>53</v>
      </c>
      <c r="J8" s="22" t="s">
        <v>44</v>
      </c>
    </row>
    <row r="9" spans="1:10" ht="15.95" customHeight="1" x14ac:dyDescent="0.25">
      <c r="A9" s="136" t="s">
        <v>8</v>
      </c>
      <c r="B9" s="137"/>
      <c r="C9" s="137"/>
      <c r="D9" s="137"/>
      <c r="E9" s="137"/>
      <c r="F9" s="137"/>
      <c r="G9" s="137"/>
      <c r="H9" s="137"/>
      <c r="I9" s="137"/>
      <c r="J9" s="138"/>
    </row>
    <row r="10" spans="1:10" ht="15.95" customHeight="1" x14ac:dyDescent="0.25">
      <c r="A10" s="15" t="s">
        <v>9</v>
      </c>
      <c r="B10" s="18" t="s">
        <v>10</v>
      </c>
      <c r="C10" s="45">
        <v>154729</v>
      </c>
      <c r="D10" s="93">
        <f>C10*100/57929</f>
        <v>267.10110652695539</v>
      </c>
      <c r="E10" s="45">
        <v>39201</v>
      </c>
      <c r="F10" s="20">
        <f>E10*100/168696</f>
        <v>23.237658272869542</v>
      </c>
      <c r="G10" s="45">
        <v>115528</v>
      </c>
      <c r="H10" s="20">
        <f>G10*100/411233</f>
        <v>28.093076187951841</v>
      </c>
      <c r="I10" s="45" t="s">
        <v>12</v>
      </c>
      <c r="J10" s="20" t="s">
        <v>12</v>
      </c>
    </row>
    <row r="11" spans="1:10" ht="15.95" customHeight="1" x14ac:dyDescent="0.25">
      <c r="A11" s="15" t="s">
        <v>13</v>
      </c>
      <c r="B11" s="18" t="s">
        <v>14</v>
      </c>
      <c r="C11" s="45">
        <v>78672</v>
      </c>
      <c r="D11" s="20">
        <f>C11*100/215340</f>
        <v>36.533853441069937</v>
      </c>
      <c r="E11" s="45">
        <v>7566</v>
      </c>
      <c r="F11" s="20">
        <f>E11*100/45831</f>
        <v>16.5084767951823</v>
      </c>
      <c r="G11" s="79">
        <v>7236</v>
      </c>
      <c r="H11" s="80">
        <f>G11*100/15583</f>
        <v>46.435217865622796</v>
      </c>
      <c r="I11" s="79">
        <v>63870</v>
      </c>
      <c r="J11" s="80">
        <f>I11*100/153926</f>
        <v>41.493964632355805</v>
      </c>
    </row>
    <row r="12" spans="1:10" ht="15.95" customHeight="1" x14ac:dyDescent="0.25">
      <c r="A12" s="15" t="s">
        <v>15</v>
      </c>
      <c r="B12" s="18" t="s">
        <v>16</v>
      </c>
      <c r="C12" s="45">
        <v>63011</v>
      </c>
      <c r="D12" s="20">
        <f>C12*100/165316</f>
        <v>38.115487914055507</v>
      </c>
      <c r="E12" s="45">
        <v>18850</v>
      </c>
      <c r="F12" s="20">
        <f>E12*100/62944</f>
        <v>29.94725470259278</v>
      </c>
      <c r="G12" s="79">
        <v>7301</v>
      </c>
      <c r="H12" s="80">
        <f>G12*100/16592</f>
        <v>44.003134040501443</v>
      </c>
      <c r="I12" s="79">
        <v>36860</v>
      </c>
      <c r="J12" s="80">
        <f>I12*100/85780</f>
        <v>42.970389368151082</v>
      </c>
    </row>
    <row r="13" spans="1:10" ht="15.95" customHeight="1" x14ac:dyDescent="0.25">
      <c r="A13" s="15" t="s">
        <v>17</v>
      </c>
      <c r="B13" s="18" t="s">
        <v>18</v>
      </c>
      <c r="C13" s="45">
        <v>7875</v>
      </c>
      <c r="D13" s="20">
        <f>C13*100/21137</f>
        <v>37.256942801722097</v>
      </c>
      <c r="E13" s="45">
        <v>3211</v>
      </c>
      <c r="F13" s="20">
        <f>E13*100/9280</f>
        <v>34.601293103448278</v>
      </c>
      <c r="G13" s="79">
        <v>4664</v>
      </c>
      <c r="H13" s="80">
        <f>G13*100/11857</f>
        <v>39.335413679682887</v>
      </c>
      <c r="I13" s="79" t="s">
        <v>12</v>
      </c>
      <c r="J13" s="80" t="s">
        <v>12</v>
      </c>
    </row>
    <row r="14" spans="1:10" ht="15.95" customHeight="1" x14ac:dyDescent="0.25">
      <c r="A14" s="15" t="s">
        <v>19</v>
      </c>
      <c r="B14" s="18" t="s">
        <v>20</v>
      </c>
      <c r="C14" s="45">
        <v>39127</v>
      </c>
      <c r="D14" s="20">
        <f>C14*100/100886</f>
        <v>38.78337925975854</v>
      </c>
      <c r="E14" s="45">
        <f>36268+2859</f>
        <v>39127</v>
      </c>
      <c r="F14" s="20">
        <f>E14*100/100886</f>
        <v>38.78337925975854</v>
      </c>
      <c r="G14" s="45" t="s">
        <v>12</v>
      </c>
      <c r="H14" s="20" t="s">
        <v>12</v>
      </c>
      <c r="I14" s="45" t="s">
        <v>12</v>
      </c>
      <c r="J14" s="20" t="s">
        <v>12</v>
      </c>
    </row>
    <row r="15" spans="1:10" ht="15.95" customHeight="1" x14ac:dyDescent="0.25">
      <c r="A15" s="15" t="s">
        <v>21</v>
      </c>
      <c r="B15" s="18" t="s">
        <v>22</v>
      </c>
      <c r="C15" s="45">
        <v>63174</v>
      </c>
      <c r="D15" s="20">
        <f>C15*100/102543</f>
        <v>61.607325707264266</v>
      </c>
      <c r="E15" s="45">
        <v>18065</v>
      </c>
      <c r="F15" s="20">
        <f>E15*100/32619</f>
        <v>55.381832674208283</v>
      </c>
      <c r="G15" s="45">
        <v>1972</v>
      </c>
      <c r="H15" s="20">
        <f>G15*100/4490</f>
        <v>43.919821826280625</v>
      </c>
      <c r="I15" s="45">
        <v>43137</v>
      </c>
      <c r="J15" s="20">
        <f>I15*100/65434</f>
        <v>65.924442950148247</v>
      </c>
    </row>
    <row r="16" spans="1:10" ht="15.95" customHeight="1" x14ac:dyDescent="0.25">
      <c r="A16" s="15" t="s">
        <v>23</v>
      </c>
      <c r="B16" s="18" t="s">
        <v>24</v>
      </c>
      <c r="C16" s="45">
        <v>48468</v>
      </c>
      <c r="D16" s="20">
        <f>C16*100/165332</f>
        <v>29.315558996443521</v>
      </c>
      <c r="E16" s="45">
        <v>9448</v>
      </c>
      <c r="F16" s="20">
        <f>E16*100/45322</f>
        <v>20.846388067605137</v>
      </c>
      <c r="G16" s="79" t="s">
        <v>12</v>
      </c>
      <c r="H16" s="80" t="s">
        <v>12</v>
      </c>
      <c r="I16" s="79">
        <v>47520</v>
      </c>
      <c r="J16" s="80">
        <f>I16*100/120010</f>
        <v>39.596700274977088</v>
      </c>
    </row>
    <row r="17" spans="1:10" ht="15.95" customHeight="1" x14ac:dyDescent="0.25">
      <c r="A17" s="160" t="s">
        <v>31</v>
      </c>
      <c r="B17" s="160"/>
      <c r="C17" s="21">
        <f t="shared" ref="C17:J17" si="0">SUM(C10:C16)</f>
        <v>455056</v>
      </c>
      <c r="D17" s="39">
        <f t="shared" si="0"/>
        <v>508.71365464726932</v>
      </c>
      <c r="E17" s="21">
        <f t="shared" si="0"/>
        <v>135468</v>
      </c>
      <c r="F17" s="39">
        <f t="shared" si="0"/>
        <v>219.30628287566486</v>
      </c>
      <c r="G17" s="21">
        <f t="shared" si="0"/>
        <v>136701</v>
      </c>
      <c r="H17" s="39">
        <f t="shared" si="0"/>
        <v>201.78666360003962</v>
      </c>
      <c r="I17" s="21">
        <f t="shared" si="0"/>
        <v>191387</v>
      </c>
      <c r="J17" s="39">
        <f t="shared" si="0"/>
        <v>189.98549722563223</v>
      </c>
    </row>
    <row r="18" spans="1:10" ht="15.95" customHeight="1" x14ac:dyDescent="0.25">
      <c r="A18" s="160" t="s">
        <v>33</v>
      </c>
      <c r="B18" s="160"/>
      <c r="C18" s="21">
        <f>C17/7</f>
        <v>65008</v>
      </c>
      <c r="D18" s="39">
        <f>D17/7</f>
        <v>72.673379235324191</v>
      </c>
      <c r="E18" s="21">
        <f>E17/7</f>
        <v>19352.571428571428</v>
      </c>
      <c r="F18" s="39">
        <f>F17/7</f>
        <v>31.329468982237838</v>
      </c>
      <c r="G18" s="21">
        <f>G17/5</f>
        <v>27340.2</v>
      </c>
      <c r="H18" s="39">
        <f>H17/5</f>
        <v>40.357332720007925</v>
      </c>
      <c r="I18" s="21">
        <f>I17/4</f>
        <v>47846.75</v>
      </c>
      <c r="J18" s="39">
        <f>J17/4</f>
        <v>47.496374306408057</v>
      </c>
    </row>
    <row r="19" spans="1:10" ht="15.95" customHeight="1" x14ac:dyDescent="0.25">
      <c r="A19" s="159" t="s">
        <v>25</v>
      </c>
      <c r="B19" s="159"/>
      <c r="C19" s="159"/>
      <c r="D19" s="159"/>
      <c r="E19" s="159"/>
      <c r="F19" s="159"/>
      <c r="G19" s="159"/>
      <c r="H19" s="159"/>
      <c r="I19" s="159"/>
      <c r="J19" s="159"/>
    </row>
    <row r="20" spans="1:10" ht="15.95" customHeight="1" x14ac:dyDescent="0.25">
      <c r="A20" s="15" t="s">
        <v>9</v>
      </c>
      <c r="B20" s="18" t="s">
        <v>26</v>
      </c>
      <c r="C20" s="45">
        <v>50530</v>
      </c>
      <c r="D20" s="20">
        <f>C20*100/127466</f>
        <v>39.641943734015342</v>
      </c>
      <c r="E20" s="45">
        <v>6537</v>
      </c>
      <c r="F20" s="20">
        <f>E20*100/33461</f>
        <v>19.536176444218643</v>
      </c>
      <c r="G20" s="79">
        <v>1285</v>
      </c>
      <c r="H20" s="80">
        <f>G20*100/7143</f>
        <v>17.989640207195855</v>
      </c>
      <c r="I20" s="79">
        <v>42708</v>
      </c>
      <c r="J20" s="80">
        <f>I20*100/86862</f>
        <v>49.167645230365409</v>
      </c>
    </row>
    <row r="21" spans="1:10" ht="15.95" customHeight="1" x14ac:dyDescent="0.25">
      <c r="A21" s="15" t="s">
        <v>13</v>
      </c>
      <c r="B21" s="18" t="s">
        <v>27</v>
      </c>
      <c r="C21" s="45">
        <v>19315</v>
      </c>
      <c r="D21" s="20">
        <f>C21*100/34473</f>
        <v>56.029356307835116</v>
      </c>
      <c r="E21" s="45">
        <v>2447</v>
      </c>
      <c r="F21" s="20">
        <f>E21*100/8081</f>
        <v>30.280905828486574</v>
      </c>
      <c r="G21" s="16" t="s">
        <v>12</v>
      </c>
      <c r="H21" s="20" t="s">
        <v>12</v>
      </c>
      <c r="I21" s="16">
        <v>16868</v>
      </c>
      <c r="J21" s="20">
        <f>I21*100/26392</f>
        <v>63.913307062746284</v>
      </c>
    </row>
    <row r="22" spans="1:10" ht="15.95" customHeight="1" x14ac:dyDescent="0.25">
      <c r="A22" s="15" t="s">
        <v>15</v>
      </c>
      <c r="B22" s="18" t="s">
        <v>28</v>
      </c>
      <c r="C22" s="45">
        <v>45735</v>
      </c>
      <c r="D22" s="20">
        <f>C22*100/95922</f>
        <v>47.679364483642956</v>
      </c>
      <c r="E22" s="45">
        <v>14052</v>
      </c>
      <c r="F22" s="20">
        <f>E22*100/30843</f>
        <v>45.559770450345297</v>
      </c>
      <c r="G22" s="45" t="s">
        <v>12</v>
      </c>
      <c r="H22" s="20" t="s">
        <v>12</v>
      </c>
      <c r="I22" s="45">
        <v>31683</v>
      </c>
      <c r="J22" s="20">
        <f>I22*100/65079</f>
        <v>48.683907251187016</v>
      </c>
    </row>
    <row r="23" spans="1:10" ht="15.95" customHeight="1" x14ac:dyDescent="0.25">
      <c r="A23" s="15" t="s">
        <v>17</v>
      </c>
      <c r="B23" s="18" t="s">
        <v>29</v>
      </c>
      <c r="C23" s="45">
        <v>45825</v>
      </c>
      <c r="D23" s="20">
        <f>C23*100/145021</f>
        <v>31.598871887519739</v>
      </c>
      <c r="E23" s="45">
        <v>16866</v>
      </c>
      <c r="F23" s="20">
        <f>E23*100/62691</f>
        <v>26.903383260755131</v>
      </c>
      <c r="G23" s="79">
        <v>2456</v>
      </c>
      <c r="H23" s="80">
        <f>G23*100/8985</f>
        <v>27.334446299387867</v>
      </c>
      <c r="I23" s="79">
        <v>26503</v>
      </c>
      <c r="J23" s="80">
        <f>I23*100/73345</f>
        <v>36.134705842252366</v>
      </c>
    </row>
    <row r="24" spans="1:10" ht="15.95" customHeight="1" x14ac:dyDescent="0.25">
      <c r="A24" s="160" t="s">
        <v>31</v>
      </c>
      <c r="B24" s="160"/>
      <c r="C24" s="21">
        <f t="shared" ref="C24:J24" si="1">SUM(C20:C23)</f>
        <v>161405</v>
      </c>
      <c r="D24" s="39">
        <f t="shared" si="1"/>
        <v>174.94953641301316</v>
      </c>
      <c r="E24" s="21">
        <f t="shared" si="1"/>
        <v>39902</v>
      </c>
      <c r="F24" s="39">
        <f t="shared" si="1"/>
        <v>122.28023598380565</v>
      </c>
      <c r="G24" s="54">
        <f t="shared" si="1"/>
        <v>3741</v>
      </c>
      <c r="H24" s="39">
        <f t="shared" si="1"/>
        <v>45.324086506583726</v>
      </c>
      <c r="I24" s="54">
        <f t="shared" si="1"/>
        <v>117762</v>
      </c>
      <c r="J24" s="39">
        <f t="shared" si="1"/>
        <v>197.89956538655107</v>
      </c>
    </row>
    <row r="25" spans="1:10" ht="15.95" customHeight="1" x14ac:dyDescent="0.25">
      <c r="A25" s="160" t="s">
        <v>33</v>
      </c>
      <c r="B25" s="160"/>
      <c r="C25" s="21">
        <f>C24/4</f>
        <v>40351.25</v>
      </c>
      <c r="D25" s="39">
        <f>D24/4</f>
        <v>43.737384103253291</v>
      </c>
      <c r="E25" s="21">
        <f>E24/4</f>
        <v>9975.5</v>
      </c>
      <c r="F25" s="39">
        <f>F24/4</f>
        <v>30.570058995951413</v>
      </c>
      <c r="G25" s="21">
        <f>G24/2</f>
        <v>1870.5</v>
      </c>
      <c r="H25" s="39">
        <f>H24/2</f>
        <v>22.662043253291863</v>
      </c>
      <c r="I25" s="21">
        <f>I24/4</f>
        <v>29440.5</v>
      </c>
      <c r="J25" s="39">
        <f>J24/4</f>
        <v>49.474891346637769</v>
      </c>
    </row>
    <row r="26" spans="1:10" ht="30.75" customHeight="1" x14ac:dyDescent="0.25">
      <c r="A26" s="161" t="s">
        <v>30</v>
      </c>
      <c r="B26" s="161"/>
      <c r="C26" s="51">
        <f>SUM(C17,C24)</f>
        <v>616461</v>
      </c>
      <c r="D26" s="66">
        <f>SUM(E17,D24)</f>
        <v>135642.94953641301</v>
      </c>
      <c r="E26" s="51">
        <f>SUM(E17,E24)</f>
        <v>175370</v>
      </c>
      <c r="F26" s="66">
        <f>SUM(F17,F24)</f>
        <v>341.58651885947052</v>
      </c>
      <c r="G26" s="51">
        <f>SUM(G17,G24)</f>
        <v>140442</v>
      </c>
      <c r="H26" s="66">
        <f>SUM(H20:H23)</f>
        <v>45.324086506583726</v>
      </c>
      <c r="I26" s="51">
        <f>SUM(I17,I24)</f>
        <v>309149</v>
      </c>
      <c r="J26" s="66">
        <f>SUM(J17,J24)</f>
        <v>387.88506261218333</v>
      </c>
    </row>
    <row r="27" spans="1:10" ht="33.75" customHeight="1" x14ac:dyDescent="0.25">
      <c r="A27" s="161" t="s">
        <v>32</v>
      </c>
      <c r="B27" s="161"/>
      <c r="C27" s="51">
        <f>C26/11</f>
        <v>56041.909090909088</v>
      </c>
      <c r="D27" s="66">
        <f>D26/11</f>
        <v>12331.177230583002</v>
      </c>
      <c r="E27" s="51">
        <f>E26/11</f>
        <v>15942.727272727272</v>
      </c>
      <c r="F27" s="66">
        <f>F26/11</f>
        <v>31.0533198963155</v>
      </c>
      <c r="G27" s="51">
        <f>G26/7</f>
        <v>20063.142857142859</v>
      </c>
      <c r="H27" s="66">
        <f>H26/7</f>
        <v>6.4748695009405326</v>
      </c>
      <c r="I27" s="51">
        <f>I26/8</f>
        <v>38643.625</v>
      </c>
      <c r="J27" s="66">
        <f>J26/8</f>
        <v>48.485632826522917</v>
      </c>
    </row>
    <row r="29" spans="1:10" ht="36" x14ac:dyDescent="0.55000000000000004">
      <c r="J29" s="91"/>
    </row>
  </sheetData>
  <mergeCells count="17">
    <mergeCell ref="A26:B26"/>
    <mergeCell ref="A27:B27"/>
    <mergeCell ref="A3:J3"/>
    <mergeCell ref="C6:D7"/>
    <mergeCell ref="E6:F7"/>
    <mergeCell ref="G6:H7"/>
    <mergeCell ref="I6:J7"/>
    <mergeCell ref="A9:J9"/>
    <mergeCell ref="A17:B17"/>
    <mergeCell ref="A19:J19"/>
    <mergeCell ref="A18:B18"/>
    <mergeCell ref="A25:B25"/>
    <mergeCell ref="A2:J2"/>
    <mergeCell ref="A5:A8"/>
    <mergeCell ref="B5:B8"/>
    <mergeCell ref="C5:J5"/>
    <mergeCell ref="A24:B24"/>
  </mergeCells>
  <pageMargins left="0.70000000000000007" right="0.70000000000000007" top="0.75" bottom="0.75" header="0.30000000000000004" footer="0.30000000000000004"/>
  <pageSetup paperSize="9" orientation="portrait" r:id="rId1"/>
  <ignoredErrors>
    <ignoredError sqref="D26 H26 E14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N25"/>
  <sheetViews>
    <sheetView topLeftCell="A4" workbookViewId="0">
      <selection activeCell="M12" sqref="M12"/>
    </sheetView>
  </sheetViews>
  <sheetFormatPr defaultRowHeight="15" x14ac:dyDescent="0.25"/>
  <cols>
    <col min="1" max="1" width="5" customWidth="1"/>
    <col min="2" max="2" width="27.28515625" customWidth="1"/>
    <col min="3" max="3" width="12" customWidth="1"/>
    <col min="4" max="4" width="9.140625" customWidth="1"/>
    <col min="5" max="5" width="9.7109375" customWidth="1"/>
    <col min="6" max="6" width="8.5703125" customWidth="1"/>
    <col min="7" max="7" width="12.28515625" customWidth="1"/>
    <col min="8" max="8" width="10.28515625" customWidth="1"/>
    <col min="9" max="9" width="11.140625" customWidth="1"/>
    <col min="10" max="10" width="10" customWidth="1"/>
  </cols>
  <sheetData>
    <row r="2" spans="1:14" ht="15.75" x14ac:dyDescent="0.25">
      <c r="A2" s="139" t="s">
        <v>60</v>
      </c>
      <c r="B2" s="139"/>
      <c r="C2" s="139"/>
      <c r="D2" s="139"/>
      <c r="E2" s="139"/>
      <c r="F2" s="139"/>
      <c r="G2" s="139"/>
      <c r="H2" s="139"/>
      <c r="I2" s="139"/>
      <c r="J2" s="139"/>
      <c r="K2" s="24"/>
      <c r="L2" s="24"/>
      <c r="M2" s="24"/>
      <c r="N2" s="24"/>
    </row>
    <row r="3" spans="1:14" ht="15.75" x14ac:dyDescent="0.25">
      <c r="A3" s="139" t="s">
        <v>97</v>
      </c>
      <c r="B3" s="139"/>
      <c r="C3" s="139"/>
      <c r="D3" s="139"/>
      <c r="E3" s="139"/>
      <c r="F3" s="139"/>
      <c r="G3" s="139"/>
      <c r="H3" s="139"/>
      <c r="I3" s="139"/>
      <c r="J3" s="139"/>
    </row>
    <row r="4" spans="1:14" ht="15.75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</row>
    <row r="5" spans="1:14" ht="15.95" customHeight="1" x14ac:dyDescent="0.25">
      <c r="A5" s="113" t="s">
        <v>0</v>
      </c>
      <c r="B5" s="113" t="s">
        <v>1</v>
      </c>
      <c r="C5" s="126" t="s">
        <v>58</v>
      </c>
      <c r="D5" s="140"/>
      <c r="E5" s="140"/>
      <c r="F5" s="127"/>
      <c r="G5" s="126" t="s">
        <v>59</v>
      </c>
      <c r="H5" s="140"/>
      <c r="I5" s="140"/>
      <c r="J5" s="127"/>
    </row>
    <row r="6" spans="1:14" ht="34.5" customHeight="1" x14ac:dyDescent="0.25">
      <c r="A6" s="113"/>
      <c r="B6" s="113"/>
      <c r="C6" s="22" t="s">
        <v>50</v>
      </c>
      <c r="D6" s="22" t="s">
        <v>4</v>
      </c>
      <c r="E6" s="22" t="s">
        <v>47</v>
      </c>
      <c r="F6" s="22" t="s">
        <v>48</v>
      </c>
      <c r="G6" s="22" t="s">
        <v>50</v>
      </c>
      <c r="H6" s="22" t="s">
        <v>4</v>
      </c>
      <c r="I6" s="22" t="s">
        <v>47</v>
      </c>
      <c r="J6" s="22" t="s">
        <v>48</v>
      </c>
    </row>
    <row r="7" spans="1:14" ht="15.95" customHeight="1" x14ac:dyDescent="0.25">
      <c r="A7" s="25" t="s">
        <v>8</v>
      </c>
      <c r="B7" s="25"/>
      <c r="C7" s="25"/>
      <c r="D7" s="25"/>
      <c r="E7" s="25"/>
      <c r="F7" s="25"/>
      <c r="G7" s="25"/>
      <c r="H7" s="25"/>
      <c r="I7" s="25"/>
      <c r="J7" s="25"/>
    </row>
    <row r="8" spans="1:14" ht="15.95" customHeight="1" x14ac:dyDescent="0.25">
      <c r="A8" s="15" t="s">
        <v>9</v>
      </c>
      <c r="B8" s="18" t="s">
        <v>10</v>
      </c>
      <c r="C8" s="45">
        <v>402284</v>
      </c>
      <c r="D8" s="45">
        <v>95777</v>
      </c>
      <c r="E8" s="45">
        <f>288563+17944</f>
        <v>306507</v>
      </c>
      <c r="F8" s="45" t="s">
        <v>12</v>
      </c>
      <c r="G8" s="79">
        <v>177645</v>
      </c>
      <c r="H8" s="79">
        <v>72919</v>
      </c>
      <c r="I8" s="79">
        <f>101109+3617</f>
        <v>104726</v>
      </c>
      <c r="J8" s="79" t="s">
        <v>12</v>
      </c>
    </row>
    <row r="9" spans="1:14" ht="15.95" customHeight="1" x14ac:dyDescent="0.25">
      <c r="A9" s="15" t="s">
        <v>13</v>
      </c>
      <c r="B9" s="18" t="s">
        <v>14</v>
      </c>
      <c r="C9" s="45">
        <v>164022</v>
      </c>
      <c r="D9" s="45">
        <v>39460</v>
      </c>
      <c r="E9" s="45">
        <v>11268</v>
      </c>
      <c r="F9" s="45">
        <v>113294</v>
      </c>
      <c r="G9" s="79">
        <v>51318</v>
      </c>
      <c r="H9" s="79">
        <v>6371</v>
      </c>
      <c r="I9" s="79">
        <v>4315</v>
      </c>
      <c r="J9" s="79">
        <v>40632</v>
      </c>
    </row>
    <row r="10" spans="1:14" ht="15.95" customHeight="1" x14ac:dyDescent="0.25">
      <c r="A10" s="15" t="s">
        <v>15</v>
      </c>
      <c r="B10" s="18" t="s">
        <v>16</v>
      </c>
      <c r="C10" s="45">
        <v>122593</v>
      </c>
      <c r="D10" s="45">
        <v>43898</v>
      </c>
      <c r="E10" s="45">
        <v>11602</v>
      </c>
      <c r="F10" s="45">
        <v>67093</v>
      </c>
      <c r="G10" s="79">
        <v>42723</v>
      </c>
      <c r="H10" s="79">
        <v>19046</v>
      </c>
      <c r="I10" s="79">
        <v>4990</v>
      </c>
      <c r="J10" s="79">
        <v>18687</v>
      </c>
    </row>
    <row r="11" spans="1:14" ht="15.95" customHeight="1" x14ac:dyDescent="0.25">
      <c r="A11" s="15" t="s">
        <v>17</v>
      </c>
      <c r="B11" s="18" t="s">
        <v>18</v>
      </c>
      <c r="C11" s="45">
        <v>14139</v>
      </c>
      <c r="D11" s="45">
        <v>6777</v>
      </c>
      <c r="E11" s="45">
        <v>7362</v>
      </c>
      <c r="F11" s="45" t="s">
        <v>12</v>
      </c>
      <c r="G11" s="79">
        <v>6998</v>
      </c>
      <c r="H11" s="79">
        <v>2503</v>
      </c>
      <c r="I11" s="79">
        <v>4495</v>
      </c>
      <c r="J11" s="79" t="s">
        <v>12</v>
      </c>
    </row>
    <row r="12" spans="1:14" ht="15.95" customHeight="1" x14ac:dyDescent="0.25">
      <c r="A12" s="15" t="s">
        <v>19</v>
      </c>
      <c r="B12" s="18" t="s">
        <v>20</v>
      </c>
      <c r="C12" s="45">
        <v>53682</v>
      </c>
      <c r="D12" s="45">
        <v>53682</v>
      </c>
      <c r="E12" s="45" t="s">
        <v>12</v>
      </c>
      <c r="F12" s="45" t="s">
        <v>12</v>
      </c>
      <c r="G12" s="79">
        <v>47204</v>
      </c>
      <c r="H12" s="79">
        <v>47204</v>
      </c>
      <c r="I12" s="79" t="s">
        <v>12</v>
      </c>
      <c r="J12" s="79" t="s">
        <v>12</v>
      </c>
    </row>
    <row r="13" spans="1:14" ht="15.95" customHeight="1" x14ac:dyDescent="0.25">
      <c r="A13" s="15" t="s">
        <v>21</v>
      </c>
      <c r="B13" s="18" t="s">
        <v>22</v>
      </c>
      <c r="C13" s="45">
        <v>64888</v>
      </c>
      <c r="D13" s="45">
        <v>16779</v>
      </c>
      <c r="E13" s="45">
        <v>2985</v>
      </c>
      <c r="F13" s="45">
        <v>45124</v>
      </c>
      <c r="G13" s="79">
        <v>37655</v>
      </c>
      <c r="H13" s="79">
        <v>15840</v>
      </c>
      <c r="I13" s="79">
        <v>1505</v>
      </c>
      <c r="J13" s="79">
        <v>20310</v>
      </c>
    </row>
    <row r="14" spans="1:14" ht="15.95" customHeight="1" x14ac:dyDescent="0.25">
      <c r="A14" s="15" t="s">
        <v>23</v>
      </c>
      <c r="B14" s="18" t="s">
        <v>24</v>
      </c>
      <c r="C14" s="45">
        <v>85664</v>
      </c>
      <c r="D14" s="45">
        <v>16136</v>
      </c>
      <c r="E14" s="45" t="s">
        <v>12</v>
      </c>
      <c r="F14" s="45">
        <v>69528</v>
      </c>
      <c r="G14" s="79">
        <v>79668</v>
      </c>
      <c r="H14" s="79">
        <v>29186</v>
      </c>
      <c r="I14" s="79" t="s">
        <v>12</v>
      </c>
      <c r="J14" s="79">
        <v>50482</v>
      </c>
    </row>
    <row r="15" spans="1:14" ht="15.95" customHeight="1" x14ac:dyDescent="0.25">
      <c r="A15" s="160" t="s">
        <v>31</v>
      </c>
      <c r="B15" s="160"/>
      <c r="C15" s="21">
        <f t="shared" ref="C15:J15" si="0">SUM(C8:C14)</f>
        <v>907272</v>
      </c>
      <c r="D15" s="21">
        <f t="shared" si="0"/>
        <v>272509</v>
      </c>
      <c r="E15" s="21">
        <f t="shared" si="0"/>
        <v>339724</v>
      </c>
      <c r="F15" s="21">
        <f t="shared" si="0"/>
        <v>295039</v>
      </c>
      <c r="G15" s="54">
        <f t="shared" si="0"/>
        <v>443211</v>
      </c>
      <c r="H15" s="54">
        <f t="shared" si="0"/>
        <v>193069</v>
      </c>
      <c r="I15" s="54">
        <f t="shared" si="0"/>
        <v>120031</v>
      </c>
      <c r="J15" s="54">
        <f t="shared" si="0"/>
        <v>130111</v>
      </c>
    </row>
    <row r="16" spans="1:14" ht="15.95" customHeight="1" x14ac:dyDescent="0.25">
      <c r="A16" s="110" t="s">
        <v>33</v>
      </c>
      <c r="B16" s="111"/>
      <c r="C16" s="21">
        <f>C15/7</f>
        <v>129610.28571428571</v>
      </c>
      <c r="D16" s="21">
        <f>D15/7</f>
        <v>38929.857142857145</v>
      </c>
      <c r="E16" s="21">
        <f>E15/5</f>
        <v>67944.800000000003</v>
      </c>
      <c r="F16" s="21">
        <f>F15/4</f>
        <v>73759.75</v>
      </c>
      <c r="G16" s="54">
        <f>G15/7</f>
        <v>63315.857142857145</v>
      </c>
      <c r="H16" s="54">
        <f>H15/7</f>
        <v>27581.285714285714</v>
      </c>
      <c r="I16" s="54">
        <f>I15/5</f>
        <v>24006.2</v>
      </c>
      <c r="J16" s="54">
        <f>J15/4</f>
        <v>32527.75</v>
      </c>
    </row>
    <row r="17" spans="1:10" ht="15.95" customHeight="1" x14ac:dyDescent="0.25">
      <c r="A17" s="159" t="s">
        <v>25</v>
      </c>
      <c r="B17" s="159"/>
      <c r="C17" s="159"/>
      <c r="D17" s="159"/>
      <c r="E17" s="159"/>
      <c r="F17" s="159"/>
      <c r="G17" s="159"/>
      <c r="H17" s="159"/>
      <c r="I17" s="159"/>
      <c r="J17" s="159"/>
    </row>
    <row r="18" spans="1:10" ht="15.95" customHeight="1" x14ac:dyDescent="0.25">
      <c r="A18" s="15" t="s">
        <v>9</v>
      </c>
      <c r="B18" s="18" t="s">
        <v>26</v>
      </c>
      <c r="C18" s="45">
        <v>101290</v>
      </c>
      <c r="D18" s="45">
        <v>26907</v>
      </c>
      <c r="E18" s="45">
        <v>5848</v>
      </c>
      <c r="F18" s="45">
        <v>68535</v>
      </c>
      <c r="G18" s="79">
        <v>26176</v>
      </c>
      <c r="H18" s="79">
        <v>6554</v>
      </c>
      <c r="I18" s="79">
        <v>1295</v>
      </c>
      <c r="J18" s="79">
        <v>18327</v>
      </c>
    </row>
    <row r="19" spans="1:10" ht="15.95" customHeight="1" x14ac:dyDescent="0.25">
      <c r="A19" s="15" t="s">
        <v>13</v>
      </c>
      <c r="B19" s="18" t="s">
        <v>27</v>
      </c>
      <c r="C19" s="45">
        <v>27286</v>
      </c>
      <c r="D19" s="45">
        <v>6930</v>
      </c>
      <c r="E19" s="45" t="s">
        <v>12</v>
      </c>
      <c r="F19" s="45">
        <v>20356</v>
      </c>
      <c r="G19" s="79">
        <v>7187</v>
      </c>
      <c r="H19" s="79">
        <v>1151</v>
      </c>
      <c r="I19" s="79" t="s">
        <v>12</v>
      </c>
      <c r="J19" s="79">
        <v>6036</v>
      </c>
    </row>
    <row r="20" spans="1:10" ht="15.95" customHeight="1" x14ac:dyDescent="0.25">
      <c r="A20" s="15" t="s">
        <v>15</v>
      </c>
      <c r="B20" s="18" t="s">
        <v>28</v>
      </c>
      <c r="C20" s="45">
        <v>61915</v>
      </c>
      <c r="D20" s="45">
        <v>17040</v>
      </c>
      <c r="E20" s="45" t="s">
        <v>12</v>
      </c>
      <c r="F20" s="45">
        <v>44875</v>
      </c>
      <c r="G20" s="79">
        <v>34007</v>
      </c>
      <c r="H20" s="79">
        <v>13803</v>
      </c>
      <c r="I20" s="79" t="s">
        <v>12</v>
      </c>
      <c r="J20" s="79">
        <v>20204</v>
      </c>
    </row>
    <row r="21" spans="1:10" ht="15.95" customHeight="1" x14ac:dyDescent="0.25">
      <c r="A21" s="15" t="s">
        <v>17</v>
      </c>
      <c r="B21" s="18" t="s">
        <v>29</v>
      </c>
      <c r="C21" s="45">
        <v>111448</v>
      </c>
      <c r="D21" s="45">
        <v>46873</v>
      </c>
      <c r="E21" s="45">
        <v>5483</v>
      </c>
      <c r="F21" s="45">
        <v>59092</v>
      </c>
      <c r="G21" s="79">
        <v>33573</v>
      </c>
      <c r="H21" s="79">
        <v>15818</v>
      </c>
      <c r="I21" s="79">
        <v>3502</v>
      </c>
      <c r="J21" s="79">
        <v>14253</v>
      </c>
    </row>
    <row r="22" spans="1:10" ht="15.95" customHeight="1" x14ac:dyDescent="0.25">
      <c r="A22" s="160" t="s">
        <v>31</v>
      </c>
      <c r="B22" s="160"/>
      <c r="C22" s="21">
        <f t="shared" ref="C22:J22" si="1">SUM(C18:C21)</f>
        <v>301939</v>
      </c>
      <c r="D22" s="21">
        <f t="shared" si="1"/>
        <v>97750</v>
      </c>
      <c r="E22" s="21">
        <f t="shared" si="1"/>
        <v>11331</v>
      </c>
      <c r="F22" s="21">
        <f t="shared" si="1"/>
        <v>192858</v>
      </c>
      <c r="G22" s="54">
        <f t="shared" si="1"/>
        <v>100943</v>
      </c>
      <c r="H22" s="54">
        <f t="shared" si="1"/>
        <v>37326</v>
      </c>
      <c r="I22" s="54">
        <f t="shared" si="1"/>
        <v>4797</v>
      </c>
      <c r="J22" s="54">
        <f t="shared" si="1"/>
        <v>58820</v>
      </c>
    </row>
    <row r="23" spans="1:10" ht="15.95" customHeight="1" x14ac:dyDescent="0.25">
      <c r="A23" s="110" t="s">
        <v>33</v>
      </c>
      <c r="B23" s="111"/>
      <c r="C23" s="21">
        <f>C22/4</f>
        <v>75484.75</v>
      </c>
      <c r="D23" s="21">
        <f>D22/4</f>
        <v>24437.5</v>
      </c>
      <c r="E23" s="21">
        <f>E22/2</f>
        <v>5665.5</v>
      </c>
      <c r="F23" s="21">
        <f>F22/4</f>
        <v>48214.5</v>
      </c>
      <c r="G23" s="54">
        <f>G22/4</f>
        <v>25235.75</v>
      </c>
      <c r="H23" s="54">
        <f>H22/4</f>
        <v>9331.5</v>
      </c>
      <c r="I23" s="54">
        <f>I22/2</f>
        <v>2398.5</v>
      </c>
      <c r="J23" s="54">
        <f>J22/4</f>
        <v>14705</v>
      </c>
    </row>
    <row r="24" spans="1:10" ht="29.25" customHeight="1" x14ac:dyDescent="0.25">
      <c r="A24" s="161" t="s">
        <v>30</v>
      </c>
      <c r="B24" s="161"/>
      <c r="C24" s="51">
        <f t="shared" ref="C24:J24" si="2">SUM(C15,C22)</f>
        <v>1209211</v>
      </c>
      <c r="D24" s="51">
        <f t="shared" si="2"/>
        <v>370259</v>
      </c>
      <c r="E24" s="51">
        <f t="shared" si="2"/>
        <v>351055</v>
      </c>
      <c r="F24" s="51">
        <f t="shared" si="2"/>
        <v>487897</v>
      </c>
      <c r="G24" s="50">
        <f t="shared" si="2"/>
        <v>544154</v>
      </c>
      <c r="H24" s="50">
        <f t="shared" si="2"/>
        <v>230395</v>
      </c>
      <c r="I24" s="50">
        <f t="shared" si="2"/>
        <v>124828</v>
      </c>
      <c r="J24" s="50">
        <f t="shared" si="2"/>
        <v>188931</v>
      </c>
    </row>
    <row r="25" spans="1:10" ht="32.25" customHeight="1" x14ac:dyDescent="0.25">
      <c r="A25" s="161" t="s">
        <v>32</v>
      </c>
      <c r="B25" s="161"/>
      <c r="C25" s="51">
        <f>C24/11</f>
        <v>109928.27272727272</v>
      </c>
      <c r="D25" s="51">
        <f>D24/11</f>
        <v>33659.909090909088</v>
      </c>
      <c r="E25" s="51">
        <f>E24/7</f>
        <v>50150.714285714283</v>
      </c>
      <c r="F25" s="51">
        <f>F24/8</f>
        <v>60987.125</v>
      </c>
      <c r="G25" s="51">
        <f>G24/11</f>
        <v>49468.545454545456</v>
      </c>
      <c r="H25" s="51">
        <f>H24/11</f>
        <v>20945</v>
      </c>
      <c r="I25" s="51">
        <f>I24/7</f>
        <v>17832.571428571428</v>
      </c>
      <c r="J25" s="51">
        <f>J24/8</f>
        <v>23616.375</v>
      </c>
    </row>
  </sheetData>
  <mergeCells count="13">
    <mergeCell ref="A3:J3"/>
    <mergeCell ref="A2:J2"/>
    <mergeCell ref="A15:B15"/>
    <mergeCell ref="A17:J17"/>
    <mergeCell ref="A22:B22"/>
    <mergeCell ref="G5:J5"/>
    <mergeCell ref="A16:B16"/>
    <mergeCell ref="A24:B24"/>
    <mergeCell ref="A25:B25"/>
    <mergeCell ref="A5:A6"/>
    <mergeCell ref="B5:B6"/>
    <mergeCell ref="C5:F5"/>
    <mergeCell ref="A23:B23"/>
  </mergeCells>
  <pageMargins left="0.70000000000000007" right="0.70000000000000007" top="0.75" bottom="0.75" header="0.30000000000000004" footer="0.30000000000000004"/>
  <ignoredErrors>
    <ignoredError sqref="E23 I23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15</vt:i4>
      </vt:variant>
    </vt:vector>
  </HeadingPairs>
  <TitlesOfParts>
    <vt:vector size="15" baseType="lpstr">
      <vt:lpstr>3.1. Vartotojų telkimas</vt:lpstr>
      <vt:lpstr>3.2. Vartotojų skaičius</vt:lpstr>
      <vt:lpstr>3.2.1. Vaikų skaičius</vt:lpstr>
      <vt:lpstr>3.3. Lankytojų skaičius</vt:lpstr>
      <vt:lpstr>3.3.1. Lankytojų vaikų skaičius</vt:lpstr>
      <vt:lpstr>3.4. Dokumentų išduotis</vt:lpstr>
      <vt:lpstr>3.5. Grož. ir šakin. išduotis</vt:lpstr>
      <vt:lpstr>3.6. Periodin. išduotis</vt:lpstr>
      <vt:lpstr>3.7. Išduotis vietoje ir į nam.</vt:lpstr>
      <vt:lpstr>3.8. Skaitomumas ir lankomumas</vt:lpstr>
      <vt:lpstr>3.9. Vaikų skaitomumas</vt:lpstr>
      <vt:lpstr>3.10. Darbo vietos</vt:lpstr>
      <vt:lpstr>3.11. Užklausos</vt:lpstr>
      <vt:lpstr>3.12. Renginiai</vt:lpstr>
      <vt:lpstr>3.13. El. paslaugos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Živilė Levokaitė</dc:creator>
  <cp:lastModifiedBy>Živilė Levokaitė</cp:lastModifiedBy>
  <dcterms:created xsi:type="dcterms:W3CDTF">2020-05-06T10:41:31Z</dcterms:created>
  <dcterms:modified xsi:type="dcterms:W3CDTF">2021-07-15T06:31:32Z</dcterms:modified>
</cp:coreProperties>
</file>