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zivile\Desktop\REGIONO ataskaita\2020\"/>
    </mc:Choice>
  </mc:AlternateContent>
  <bookViews>
    <workbookView xWindow="0" yWindow="0" windowWidth="28800" windowHeight="11700" firstSheet="2" activeTab="6"/>
  </bookViews>
  <sheets>
    <sheet name="2.1. Fondo būklė" sheetId="1" r:id="rId1"/>
    <sheet name="2.2. Fondo sudėtis" sheetId="2" r:id="rId2"/>
    <sheet name="2.3. Fondo papildymas" sheetId="3" r:id="rId3"/>
    <sheet name="2.4. Aprūpinimas naujais dok." sheetId="5" r:id="rId4"/>
    <sheet name="2.5. Papildymas pagal rūšis" sheetId="7" r:id="rId5"/>
    <sheet name="2.6. Periodinių leidinių fondas" sheetId="4" r:id="rId6"/>
    <sheet name="2.7. Fondo nurašymas" sheetId="6" r:id="rId7"/>
  </sheets>
  <calcPr calcId="162913"/>
</workbook>
</file>

<file path=xl/calcChain.xml><?xml version="1.0" encoding="utf-8"?>
<calcChain xmlns="http://schemas.openxmlformats.org/spreadsheetml/2006/main">
  <c r="G9" i="6" l="1"/>
  <c r="O9" i="6"/>
  <c r="G9" i="5" l="1"/>
  <c r="J20" i="5" l="1"/>
  <c r="H9" i="6" l="1"/>
  <c r="J22" i="5" l="1"/>
  <c r="J21" i="5"/>
  <c r="J19" i="5"/>
  <c r="J15" i="5"/>
  <c r="J14" i="5"/>
  <c r="J11" i="5"/>
  <c r="J10" i="5"/>
  <c r="I22" i="5"/>
  <c r="I19" i="5"/>
  <c r="I14" i="5"/>
  <c r="I12" i="5"/>
  <c r="I11" i="5"/>
  <c r="I10" i="5"/>
  <c r="I9" i="5"/>
  <c r="H22" i="5"/>
  <c r="H21" i="5"/>
  <c r="H20" i="5"/>
  <c r="H19" i="5"/>
  <c r="H15" i="5"/>
  <c r="H14" i="5"/>
  <c r="H13" i="5"/>
  <c r="H12" i="5"/>
  <c r="H11" i="5"/>
  <c r="H10" i="5"/>
  <c r="H9" i="5"/>
  <c r="G22" i="5"/>
  <c r="G21" i="5"/>
  <c r="G20" i="5"/>
  <c r="G19" i="5"/>
  <c r="G15" i="5"/>
  <c r="G14" i="5"/>
  <c r="G13" i="5"/>
  <c r="G12" i="5"/>
  <c r="G11" i="5"/>
  <c r="G10" i="5"/>
  <c r="F22" i="5"/>
  <c r="E22" i="5"/>
  <c r="F21" i="5"/>
  <c r="E21" i="5"/>
  <c r="F20" i="5"/>
  <c r="E20" i="5"/>
  <c r="F19" i="5"/>
  <c r="E19" i="5"/>
  <c r="F15" i="5"/>
  <c r="E15" i="5"/>
  <c r="F14" i="5"/>
  <c r="E14" i="5"/>
  <c r="F11" i="5"/>
  <c r="E11" i="5"/>
  <c r="F10" i="5"/>
  <c r="E10" i="5"/>
  <c r="D22" i="5"/>
  <c r="C22" i="5"/>
  <c r="D12" i="5"/>
  <c r="C12" i="5"/>
  <c r="D9" i="5"/>
  <c r="C9" i="5"/>
  <c r="I8" i="3" l="1"/>
  <c r="J8" i="3"/>
  <c r="R22" i="3"/>
  <c r="R23" i="3" s="1"/>
  <c r="Q22" i="3"/>
  <c r="Q23" i="3" s="1"/>
  <c r="P22" i="3"/>
  <c r="P23" i="3" s="1"/>
  <c r="O22" i="3"/>
  <c r="O23" i="3" s="1"/>
  <c r="R15" i="3"/>
  <c r="R16" i="3" s="1"/>
  <c r="Q8" i="3"/>
  <c r="Q15" i="3" s="1"/>
  <c r="Q16" i="3" s="1"/>
  <c r="P15" i="3"/>
  <c r="P16" i="3" s="1"/>
  <c r="H8" i="1" l="1"/>
  <c r="G8" i="1"/>
  <c r="H8" i="3" l="1"/>
  <c r="E8" i="3"/>
  <c r="Z17" i="4" l="1"/>
  <c r="Z18" i="4" s="1"/>
  <c r="Z24" i="4"/>
  <c r="Z25" i="4" s="1"/>
  <c r="V17" i="4"/>
  <c r="V18" i="4" s="1"/>
  <c r="V24" i="4"/>
  <c r="V25" i="4" s="1"/>
  <c r="R26" i="4"/>
  <c r="R27" i="4" s="1"/>
  <c r="R17" i="4"/>
  <c r="R18" i="4" s="1"/>
  <c r="R24" i="4"/>
  <c r="R25" i="4" s="1"/>
  <c r="N17" i="4"/>
  <c r="N18" i="4" s="1"/>
  <c r="N24" i="4"/>
  <c r="N25" i="4" s="1"/>
  <c r="J24" i="4"/>
  <c r="J25" i="4" s="1"/>
  <c r="J17" i="4"/>
  <c r="J18" i="4" s="1"/>
  <c r="F24" i="4"/>
  <c r="F25" i="4" s="1"/>
  <c r="F17" i="4"/>
  <c r="F18" i="4" s="1"/>
  <c r="Y24" i="4"/>
  <c r="Y25" i="4" s="1"/>
  <c r="Y17" i="4"/>
  <c r="Y18" i="4" s="1"/>
  <c r="U24" i="4"/>
  <c r="U25" i="4" s="1"/>
  <c r="U17" i="4"/>
  <c r="Q24" i="4"/>
  <c r="Q25" i="4" s="1"/>
  <c r="Q17" i="4"/>
  <c r="Q18" i="4" s="1"/>
  <c r="M17" i="4"/>
  <c r="M18" i="4" s="1"/>
  <c r="M24" i="4"/>
  <c r="M25" i="4" s="1"/>
  <c r="I24" i="4"/>
  <c r="I25" i="4" s="1"/>
  <c r="I17" i="4"/>
  <c r="E24" i="4"/>
  <c r="E25" i="4" s="1"/>
  <c r="E17" i="4"/>
  <c r="E18" i="4" s="1"/>
  <c r="X24" i="4"/>
  <c r="X25" i="4" s="1"/>
  <c r="X17" i="4"/>
  <c r="X18" i="4" s="1"/>
  <c r="T17" i="4"/>
  <c r="T24" i="4"/>
  <c r="T25" i="4" s="1"/>
  <c r="P24" i="4"/>
  <c r="P25" i="4" s="1"/>
  <c r="P17" i="4"/>
  <c r="P18" i="4" s="1"/>
  <c r="L24" i="4"/>
  <c r="L25" i="4" s="1"/>
  <c r="L17" i="4"/>
  <c r="L18" i="4" s="1"/>
  <c r="K24" i="4"/>
  <c r="K25" i="4" s="1"/>
  <c r="K17" i="4"/>
  <c r="D24" i="4"/>
  <c r="D25" i="4" s="1"/>
  <c r="D17" i="4"/>
  <c r="D18" i="4" s="1"/>
  <c r="G24" i="4"/>
  <c r="G25" i="4" s="1"/>
  <c r="G17" i="4"/>
  <c r="G18" i="4" s="1"/>
  <c r="H24" i="4"/>
  <c r="H25" i="4" s="1"/>
  <c r="H17" i="4"/>
  <c r="W24" i="4"/>
  <c r="W25" i="4" s="1"/>
  <c r="S24" i="4"/>
  <c r="S25" i="4" s="1"/>
  <c r="O24" i="4"/>
  <c r="O25" i="4" s="1"/>
  <c r="C24" i="4"/>
  <c r="C25" i="4" s="1"/>
  <c r="W17" i="4"/>
  <c r="W26" i="4" s="1"/>
  <c r="W27" i="4" s="1"/>
  <c r="S17" i="4"/>
  <c r="S18" i="4" s="1"/>
  <c r="O17" i="4"/>
  <c r="O18" i="4" s="1"/>
  <c r="C17" i="4"/>
  <c r="C18" i="4" s="1"/>
  <c r="Z26" i="4" l="1"/>
  <c r="Z27" i="4" s="1"/>
  <c r="V26" i="4"/>
  <c r="V27" i="4" s="1"/>
  <c r="N26" i="4"/>
  <c r="N27" i="4" s="1"/>
  <c r="J26" i="4"/>
  <c r="J27" i="4" s="1"/>
  <c r="F26" i="4"/>
  <c r="F27" i="4" s="1"/>
  <c r="Y26" i="4"/>
  <c r="Y27" i="4" s="1"/>
  <c r="U26" i="4"/>
  <c r="U27" i="4" s="1"/>
  <c r="U18" i="4"/>
  <c r="I26" i="4"/>
  <c r="I27" i="4" s="1"/>
  <c r="I18" i="4"/>
  <c r="E26" i="4"/>
  <c r="E27" i="4" s="1"/>
  <c r="X26" i="4"/>
  <c r="X27" i="4" s="1"/>
  <c r="T26" i="4"/>
  <c r="T27" i="4" s="1"/>
  <c r="T18" i="4"/>
  <c r="P26" i="4"/>
  <c r="P27" i="4" s="1"/>
  <c r="L26" i="4"/>
  <c r="L27" i="4" s="1"/>
  <c r="H26" i="4"/>
  <c r="H27" i="4" s="1"/>
  <c r="H18" i="4"/>
  <c r="D26" i="4"/>
  <c r="D27" i="4" s="1"/>
  <c r="K26" i="4"/>
  <c r="K27" i="4" s="1"/>
  <c r="K18" i="4"/>
  <c r="G26" i="4"/>
  <c r="G27" i="4" s="1"/>
  <c r="Q26" i="4"/>
  <c r="Q27" i="4" s="1"/>
  <c r="M26" i="4"/>
  <c r="M27" i="4" s="1"/>
  <c r="W18" i="4"/>
  <c r="O26" i="4"/>
  <c r="O27" i="4" s="1"/>
  <c r="C26" i="4"/>
  <c r="C27" i="4" s="1"/>
  <c r="S26" i="4"/>
  <c r="S27" i="4" s="1"/>
  <c r="X22" i="7"/>
  <c r="W22" i="7"/>
  <c r="V22" i="7"/>
  <c r="V23" i="7" s="1"/>
  <c r="U22" i="7"/>
  <c r="U23" i="7" s="1"/>
  <c r="T22" i="7"/>
  <c r="S22" i="7"/>
  <c r="S23" i="7" s="1"/>
  <c r="R22" i="7"/>
  <c r="R23" i="7" s="1"/>
  <c r="Q22" i="7"/>
  <c r="P22" i="7"/>
  <c r="P23" i="7" s="1"/>
  <c r="O22" i="7"/>
  <c r="O23" i="7" s="1"/>
  <c r="N22" i="7"/>
  <c r="N23" i="7" s="1"/>
  <c r="M22" i="7"/>
  <c r="M23" i="7" s="1"/>
  <c r="L22" i="7"/>
  <c r="L23" i="7" s="1"/>
  <c r="K22" i="7"/>
  <c r="K23" i="7" s="1"/>
  <c r="J22" i="7"/>
  <c r="J23" i="7" s="1"/>
  <c r="I22" i="7"/>
  <c r="H22" i="7"/>
  <c r="G22" i="7"/>
  <c r="G23" i="7" s="1"/>
  <c r="E22" i="7"/>
  <c r="E23" i="7" s="1"/>
  <c r="D22" i="7"/>
  <c r="D23" i="7" s="1"/>
  <c r="C22" i="7"/>
  <c r="C23" i="7" s="1"/>
  <c r="X15" i="7"/>
  <c r="X16" i="7" s="1"/>
  <c r="W15" i="7"/>
  <c r="V15" i="7"/>
  <c r="V16" i="7" s="1"/>
  <c r="U15" i="7"/>
  <c r="U16" i="7" s="1"/>
  <c r="T15" i="7"/>
  <c r="T16" i="7" s="1"/>
  <c r="S15" i="7"/>
  <c r="R15" i="7"/>
  <c r="R16" i="7" s="1"/>
  <c r="Q15" i="7"/>
  <c r="Q16" i="7" s="1"/>
  <c r="P15" i="7"/>
  <c r="P16" i="7" s="1"/>
  <c r="O15" i="7"/>
  <c r="N15" i="7"/>
  <c r="M15" i="7"/>
  <c r="M16" i="7" s="1"/>
  <c r="L15" i="7"/>
  <c r="L16" i="7" s="1"/>
  <c r="K15" i="7"/>
  <c r="J15" i="7"/>
  <c r="J16" i="7" s="1"/>
  <c r="I15" i="7"/>
  <c r="I16" i="7" s="1"/>
  <c r="H15" i="7"/>
  <c r="H16" i="7" s="1"/>
  <c r="G15" i="7"/>
  <c r="E15" i="7"/>
  <c r="E24" i="7" s="1"/>
  <c r="E25" i="7" s="1"/>
  <c r="D15" i="7"/>
  <c r="D16" i="7" s="1"/>
  <c r="C15" i="7"/>
  <c r="C16" i="7" s="1"/>
  <c r="G24" i="7" l="1"/>
  <c r="G25" i="7" s="1"/>
  <c r="X24" i="7"/>
  <c r="X25" i="7" s="1"/>
  <c r="T24" i="7"/>
  <c r="T25" i="7" s="1"/>
  <c r="H24" i="7"/>
  <c r="H25" i="7" s="1"/>
  <c r="Q24" i="7"/>
  <c r="Q25" i="7" s="1"/>
  <c r="N24" i="7"/>
  <c r="N25" i="7" s="1"/>
  <c r="K24" i="7"/>
  <c r="K25" i="7" s="1"/>
  <c r="O24" i="7"/>
  <c r="O25" i="7" s="1"/>
  <c r="S24" i="7"/>
  <c r="S25" i="7" s="1"/>
  <c r="W24" i="7"/>
  <c r="W25" i="7" s="1"/>
  <c r="I24" i="7"/>
  <c r="I25" i="7" s="1"/>
  <c r="C24" i="7"/>
  <c r="C25" i="7" s="1"/>
  <c r="L24" i="7"/>
  <c r="L25" i="7" s="1"/>
  <c r="E16" i="7"/>
  <c r="N16" i="7"/>
  <c r="H23" i="7"/>
  <c r="D24" i="7"/>
  <c r="D25" i="7" s="1"/>
  <c r="M24" i="7"/>
  <c r="M25" i="7" s="1"/>
  <c r="U24" i="7"/>
  <c r="U25" i="7" s="1"/>
  <c r="G16" i="7"/>
  <c r="K16" i="7"/>
  <c r="O16" i="7"/>
  <c r="S16" i="7"/>
  <c r="W16" i="7"/>
  <c r="I23" i="7"/>
  <c r="Q23" i="7"/>
  <c r="J24" i="7"/>
  <c r="J25" i="7" s="1"/>
  <c r="R24" i="7"/>
  <c r="R25" i="7" s="1"/>
  <c r="V24" i="7"/>
  <c r="V25" i="7" s="1"/>
  <c r="P24" i="7"/>
  <c r="P25" i="7" s="1"/>
  <c r="X23" i="7"/>
  <c r="O15" i="3"/>
  <c r="O23" i="6" l="1"/>
  <c r="O24" i="6" s="1"/>
  <c r="N23" i="6"/>
  <c r="N24" i="6" s="1"/>
  <c r="M23" i="6"/>
  <c r="M24" i="6" s="1"/>
  <c r="L23" i="6"/>
  <c r="L24" i="6" s="1"/>
  <c r="K23" i="6"/>
  <c r="K24" i="6" s="1"/>
  <c r="O16" i="6"/>
  <c r="N16" i="6"/>
  <c r="M16" i="6"/>
  <c r="L16" i="6"/>
  <c r="L17" i="6" s="1"/>
  <c r="K16" i="6"/>
  <c r="K25" i="6" s="1"/>
  <c r="O25" i="6" l="1"/>
  <c r="O26" i="6" s="1"/>
  <c r="O17" i="6"/>
  <c r="N25" i="6"/>
  <c r="N26" i="6" s="1"/>
  <c r="N17" i="6"/>
  <c r="M25" i="6"/>
  <c r="M26" i="6" s="1"/>
  <c r="M17" i="6"/>
  <c r="K26" i="6"/>
  <c r="K17" i="6"/>
  <c r="L25" i="6"/>
  <c r="L26" i="6" s="1"/>
  <c r="Q23" i="6"/>
  <c r="Q24" i="6" s="1"/>
  <c r="P23" i="6"/>
  <c r="Q16" i="6"/>
  <c r="P16" i="6"/>
  <c r="P17" i="6" s="1"/>
  <c r="R22" i="6"/>
  <c r="R21" i="6"/>
  <c r="R20" i="6"/>
  <c r="R19" i="6"/>
  <c r="R15" i="6"/>
  <c r="R14" i="6"/>
  <c r="R13" i="6"/>
  <c r="R12" i="6"/>
  <c r="R11" i="6"/>
  <c r="R10" i="6"/>
  <c r="R9" i="6"/>
  <c r="D23" i="6"/>
  <c r="D24" i="6" s="1"/>
  <c r="D16" i="6"/>
  <c r="D17" i="6" s="1"/>
  <c r="C23" i="6"/>
  <c r="C24" i="6" s="1"/>
  <c r="C16" i="6"/>
  <c r="C25" i="6" s="1"/>
  <c r="C26" i="6" s="1"/>
  <c r="J23" i="6"/>
  <c r="J24" i="6" s="1"/>
  <c r="I23" i="6"/>
  <c r="I24" i="6" s="1"/>
  <c r="J16" i="6"/>
  <c r="I16" i="6"/>
  <c r="H23" i="6"/>
  <c r="H24" i="6" s="1"/>
  <c r="G23" i="6"/>
  <c r="G24" i="6" s="1"/>
  <c r="H16" i="6"/>
  <c r="H17" i="6" s="1"/>
  <c r="G16" i="6"/>
  <c r="G17" i="6" s="1"/>
  <c r="F23" i="6"/>
  <c r="F24" i="6" s="1"/>
  <c r="E23" i="6"/>
  <c r="E24" i="6" s="1"/>
  <c r="F16" i="6"/>
  <c r="E16" i="6"/>
  <c r="E25" i="6" s="1"/>
  <c r="E26" i="6" s="1"/>
  <c r="I25" i="6" l="1"/>
  <c r="I26" i="6" s="1"/>
  <c r="J25" i="6"/>
  <c r="J26" i="6" s="1"/>
  <c r="F25" i="6"/>
  <c r="F26" i="6" s="1"/>
  <c r="E17" i="6"/>
  <c r="G25" i="6"/>
  <c r="G26" i="6" s="1"/>
  <c r="C17" i="6"/>
  <c r="F17" i="6"/>
  <c r="H25" i="6"/>
  <c r="H26" i="6" s="1"/>
  <c r="I17" i="6"/>
  <c r="Q25" i="6"/>
  <c r="Q26" i="6" s="1"/>
  <c r="Q17" i="6"/>
  <c r="R17" i="6" s="1"/>
  <c r="J17" i="6"/>
  <c r="D25" i="6"/>
  <c r="D26" i="6" s="1"/>
  <c r="R16" i="6"/>
  <c r="P24" i="6"/>
  <c r="R24" i="6" s="1"/>
  <c r="P25" i="6"/>
  <c r="R23" i="6"/>
  <c r="I23" i="5"/>
  <c r="I24" i="5" s="1"/>
  <c r="I16" i="5" l="1"/>
  <c r="I17" i="5" s="1"/>
  <c r="J16" i="5"/>
  <c r="J17" i="5" s="1"/>
  <c r="R25" i="6"/>
  <c r="P26" i="6"/>
  <c r="R26" i="6" s="1"/>
  <c r="J23" i="5"/>
  <c r="J24" i="5" s="1"/>
  <c r="I25" i="5"/>
  <c r="I26" i="5" s="1"/>
  <c r="F25" i="5"/>
  <c r="F26" i="5" s="1"/>
  <c r="E25" i="5"/>
  <c r="E26" i="5" s="1"/>
  <c r="F23" i="5"/>
  <c r="F24" i="5" s="1"/>
  <c r="E23" i="5"/>
  <c r="E24" i="5" s="1"/>
  <c r="F16" i="5"/>
  <c r="F17" i="5" s="1"/>
  <c r="E16" i="5"/>
  <c r="E17" i="5" s="1"/>
  <c r="G22" i="1"/>
  <c r="G15" i="1"/>
  <c r="D23" i="5"/>
  <c r="D24" i="5" s="1"/>
  <c r="C23" i="5"/>
  <c r="C24" i="5" s="1"/>
  <c r="D16" i="5"/>
  <c r="D17" i="5" s="1"/>
  <c r="C16" i="5"/>
  <c r="C17" i="5" s="1"/>
  <c r="G24" i="1" l="1"/>
  <c r="J25" i="5"/>
  <c r="J26" i="5" s="1"/>
  <c r="G16" i="5"/>
  <c r="G17" i="5" s="1"/>
  <c r="G23" i="5"/>
  <c r="G24" i="5" s="1"/>
  <c r="H16" i="5"/>
  <c r="H17" i="5" s="1"/>
  <c r="D25" i="5"/>
  <c r="D26" i="5" s="1"/>
  <c r="H23" i="5"/>
  <c r="H24" i="5" s="1"/>
  <c r="C25" i="5"/>
  <c r="C26" i="5" s="1"/>
  <c r="G25" i="5" l="1"/>
  <c r="G26" i="5" s="1"/>
  <c r="H25" i="5"/>
  <c r="H26" i="5" s="1"/>
  <c r="N21" i="3" l="1"/>
  <c r="N20" i="3"/>
  <c r="N19" i="3"/>
  <c r="N18" i="3"/>
  <c r="N14" i="3"/>
  <c r="N13" i="3"/>
  <c r="N10" i="3"/>
  <c r="N9" i="3"/>
  <c r="K21" i="3"/>
  <c r="K18" i="3"/>
  <c r="K13" i="3"/>
  <c r="K11" i="3"/>
  <c r="K10" i="3"/>
  <c r="K9" i="3"/>
  <c r="K8" i="3"/>
  <c r="M15" i="3"/>
  <c r="L15" i="3"/>
  <c r="M22" i="3"/>
  <c r="M23" i="3" s="1"/>
  <c r="L22" i="3"/>
  <c r="L23" i="3" s="1"/>
  <c r="J15" i="3"/>
  <c r="J16" i="3" s="1"/>
  <c r="I15" i="3"/>
  <c r="J22" i="3"/>
  <c r="J23" i="3" s="1"/>
  <c r="I22" i="3"/>
  <c r="H21" i="3"/>
  <c r="H20" i="3"/>
  <c r="H19" i="3"/>
  <c r="H18" i="3"/>
  <c r="H14" i="3"/>
  <c r="H13" i="3"/>
  <c r="H12" i="3"/>
  <c r="H11" i="3"/>
  <c r="H10" i="3"/>
  <c r="H9" i="3"/>
  <c r="G15" i="3"/>
  <c r="F15" i="3"/>
  <c r="G22" i="3"/>
  <c r="G23" i="3" s="1"/>
  <c r="F22" i="3"/>
  <c r="F23" i="3" s="1"/>
  <c r="D15" i="3"/>
  <c r="D16" i="3" s="1"/>
  <c r="C15" i="3"/>
  <c r="E15" i="3" s="1"/>
  <c r="O16" i="3"/>
  <c r="E21" i="3"/>
  <c r="E20" i="3"/>
  <c r="E19" i="3"/>
  <c r="E18" i="3"/>
  <c r="Q24" i="3"/>
  <c r="O24" i="3"/>
  <c r="E14" i="3"/>
  <c r="E13" i="3"/>
  <c r="E12" i="3"/>
  <c r="E11" i="3"/>
  <c r="E10" i="3"/>
  <c r="E9" i="3"/>
  <c r="D22" i="3"/>
  <c r="D23" i="3" s="1"/>
  <c r="C22" i="3"/>
  <c r="H22" i="3" l="1"/>
  <c r="N22" i="3"/>
  <c r="M24" i="3"/>
  <c r="M25" i="3" s="1"/>
  <c r="M16" i="3"/>
  <c r="G24" i="3"/>
  <c r="G25" i="3" s="1"/>
  <c r="G16" i="3"/>
  <c r="K22" i="3"/>
  <c r="I23" i="3"/>
  <c r="F24" i="3"/>
  <c r="F25" i="3" s="1"/>
  <c r="F16" i="3"/>
  <c r="H15" i="3"/>
  <c r="N15" i="3"/>
  <c r="L16" i="3"/>
  <c r="J24" i="3"/>
  <c r="J25" i="3" s="1"/>
  <c r="K15" i="3"/>
  <c r="I16" i="3"/>
  <c r="C24" i="3"/>
  <c r="E24" i="3" s="1"/>
  <c r="R24" i="3"/>
  <c r="R25" i="3" s="1"/>
  <c r="I24" i="3"/>
  <c r="I25" i="3" s="1"/>
  <c r="D24" i="3"/>
  <c r="D25" i="3" s="1"/>
  <c r="L24" i="3"/>
  <c r="L25" i="3" s="1"/>
  <c r="P24" i="3"/>
  <c r="P25" i="3" s="1"/>
  <c r="C16" i="3"/>
  <c r="E22" i="3"/>
  <c r="O25" i="3"/>
  <c r="C23" i="3"/>
  <c r="Q25" i="3"/>
  <c r="H24" i="3" l="1"/>
  <c r="N24" i="3"/>
  <c r="K24" i="3"/>
  <c r="C25" i="3"/>
  <c r="X25" i="2" l="1"/>
  <c r="S23" i="2"/>
  <c r="X16" i="2"/>
  <c r="X23" i="2"/>
  <c r="U23" i="2"/>
  <c r="X24" i="2"/>
  <c r="T24" i="2"/>
  <c r="T25" i="2" s="1"/>
  <c r="X22" i="2"/>
  <c r="W22" i="2"/>
  <c r="W24" i="2" s="1"/>
  <c r="W25" i="2" s="1"/>
  <c r="V22" i="2"/>
  <c r="V23" i="2" s="1"/>
  <c r="U22" i="2"/>
  <c r="T22" i="2"/>
  <c r="S22" i="2"/>
  <c r="X15" i="2"/>
  <c r="W15" i="2"/>
  <c r="W16" i="2" s="1"/>
  <c r="V15" i="2"/>
  <c r="V16" i="2" s="1"/>
  <c r="U15" i="2"/>
  <c r="U16" i="2" s="1"/>
  <c r="T15" i="2"/>
  <c r="T16" i="2" s="1"/>
  <c r="S15" i="2"/>
  <c r="S16" i="2" s="1"/>
  <c r="V24" i="2" l="1"/>
  <c r="V25" i="2" s="1"/>
  <c r="U24" i="2"/>
  <c r="U25" i="2" s="1"/>
  <c r="S24" i="2"/>
  <c r="S25" i="2" s="1"/>
  <c r="R22" i="2"/>
  <c r="R23" i="2" s="1"/>
  <c r="Q22" i="2"/>
  <c r="Q23" i="2" s="1"/>
  <c r="R15" i="2"/>
  <c r="R16" i="2" s="1"/>
  <c r="Q15" i="2"/>
  <c r="Q16" i="2" s="1"/>
  <c r="P23" i="2"/>
  <c r="P24" i="2"/>
  <c r="P25" i="2" s="1"/>
  <c r="P22" i="2"/>
  <c r="O22" i="2"/>
  <c r="O23" i="2" s="1"/>
  <c r="P15" i="2"/>
  <c r="P16" i="2" s="1"/>
  <c r="O15" i="2"/>
  <c r="O16" i="2" s="1"/>
  <c r="N22" i="2"/>
  <c r="N23" i="2" s="1"/>
  <c r="M22" i="2"/>
  <c r="M23" i="2" s="1"/>
  <c r="N15" i="2"/>
  <c r="N16" i="2" s="1"/>
  <c r="M15" i="2"/>
  <c r="M16" i="2" s="1"/>
  <c r="L22" i="2"/>
  <c r="L23" i="2" s="1"/>
  <c r="L15" i="2"/>
  <c r="L16" i="2" s="1"/>
  <c r="K22" i="2"/>
  <c r="K23" i="2" s="1"/>
  <c r="K15" i="2"/>
  <c r="J23" i="2"/>
  <c r="J22" i="2"/>
  <c r="J15" i="2"/>
  <c r="J16" i="2" s="1"/>
  <c r="I22" i="2"/>
  <c r="I23" i="2" s="1"/>
  <c r="H22" i="2"/>
  <c r="I15" i="2"/>
  <c r="I16" i="2" s="1"/>
  <c r="H15" i="2"/>
  <c r="H16" i="2" s="1"/>
  <c r="G24" i="2"/>
  <c r="G25" i="2" s="1"/>
  <c r="G22" i="2"/>
  <c r="G23" i="2" s="1"/>
  <c r="G15" i="2"/>
  <c r="G16" i="2" s="1"/>
  <c r="Q24" i="2" l="1"/>
  <c r="Q25" i="2" s="1"/>
  <c r="R24" i="2"/>
  <c r="R25" i="2" s="1"/>
  <c r="O24" i="2"/>
  <c r="O25" i="2" s="1"/>
  <c r="N24" i="2"/>
  <c r="N25" i="2" s="1"/>
  <c r="L24" i="2"/>
  <c r="L25" i="2" s="1"/>
  <c r="K24" i="2"/>
  <c r="K25" i="2" s="1"/>
  <c r="K16" i="2"/>
  <c r="J24" i="2"/>
  <c r="J25" i="2" s="1"/>
  <c r="I24" i="2"/>
  <c r="I25" i="2" s="1"/>
  <c r="H24" i="2"/>
  <c r="H25" i="2" s="1"/>
  <c r="H23" i="2"/>
  <c r="M24" i="2"/>
  <c r="M25" i="2" s="1"/>
  <c r="E22" i="2"/>
  <c r="E15" i="2"/>
  <c r="E16" i="2" s="1"/>
  <c r="E24" i="2" l="1"/>
  <c r="E25" i="2" s="1"/>
  <c r="E23" i="2"/>
  <c r="D22" i="2"/>
  <c r="D23" i="2" s="1"/>
  <c r="C22" i="2"/>
  <c r="C23" i="2" s="1"/>
  <c r="D15" i="2"/>
  <c r="D16" i="2" s="1"/>
  <c r="C15" i="2"/>
  <c r="C16" i="2" s="1"/>
  <c r="J22" i="1"/>
  <c r="J23" i="1" s="1"/>
  <c r="I22" i="1"/>
  <c r="I23" i="1" s="1"/>
  <c r="H22" i="1"/>
  <c r="H23" i="1" s="1"/>
  <c r="G23" i="1"/>
  <c r="F22" i="1"/>
  <c r="F23" i="1" s="1"/>
  <c r="E22" i="1"/>
  <c r="E23" i="1" s="1"/>
  <c r="D22" i="1"/>
  <c r="D23" i="1" s="1"/>
  <c r="C22" i="1"/>
  <c r="C23" i="1" s="1"/>
  <c r="J15" i="1"/>
  <c r="I15" i="1"/>
  <c r="H15" i="1"/>
  <c r="H16" i="1" s="1"/>
  <c r="G16" i="1"/>
  <c r="F15" i="1"/>
  <c r="E15" i="1"/>
  <c r="D15" i="1"/>
  <c r="C15" i="1"/>
  <c r="C24" i="1" s="1"/>
  <c r="C25" i="1" s="1"/>
  <c r="C24" i="2" l="1"/>
  <c r="C25" i="2" s="1"/>
  <c r="J24" i="1"/>
  <c r="J25" i="1" s="1"/>
  <c r="F24" i="1"/>
  <c r="F25" i="1" s="1"/>
  <c r="E24" i="1"/>
  <c r="E25" i="1" s="1"/>
  <c r="D24" i="1"/>
  <c r="D25" i="1" s="1"/>
  <c r="I24" i="1"/>
  <c r="I25" i="1" s="1"/>
  <c r="C16" i="1"/>
  <c r="D16" i="1"/>
  <c r="H24" i="1"/>
  <c r="H25" i="1" s="1"/>
  <c r="D24" i="2"/>
  <c r="D25" i="2" s="1"/>
  <c r="G25" i="1"/>
  <c r="E16" i="1"/>
  <c r="I16" i="1"/>
  <c r="F16" i="1"/>
  <c r="J16" i="1"/>
</calcChain>
</file>

<file path=xl/comments1.xml><?xml version="1.0" encoding="utf-8"?>
<comments xmlns="http://schemas.openxmlformats.org/spreadsheetml/2006/main">
  <authors>
    <author>Živilė Levokaitė</author>
  </authors>
  <commentList>
    <comment ref="C8" authorId="0" shapeId="0">
      <text>
        <r>
          <rPr>
            <sz val="9"/>
            <color indexed="81"/>
            <rFont val="Tahoma"/>
            <family val="2"/>
            <charset val="186"/>
          </rPr>
          <t>Fondas sumažėjo 3378 fiz. vnt.</t>
        </r>
      </text>
    </comment>
    <comment ref="D8" authorId="0" shapeId="0">
      <text>
        <r>
          <rPr>
            <sz val="9"/>
            <color indexed="81"/>
            <rFont val="Tahoma"/>
            <family val="2"/>
            <charset val="186"/>
          </rPr>
          <t>Fondas padidėjo 2399 pav.</t>
        </r>
      </text>
    </comment>
    <comment ref="C9" authorId="0" shapeId="0">
      <text>
        <r>
          <rPr>
            <sz val="9"/>
            <color indexed="81"/>
            <rFont val="Tahoma"/>
            <family val="2"/>
            <charset val="186"/>
          </rPr>
          <t>Fondas sumažėjo 3539 fiz. vnt.</t>
        </r>
      </text>
    </comment>
    <comment ref="D9" authorId="0" shapeId="0">
      <text>
        <r>
          <rPr>
            <sz val="9"/>
            <color indexed="81"/>
            <rFont val="Tahoma"/>
            <family val="2"/>
            <charset val="186"/>
          </rPr>
          <t>Fondas sumažėjo 302 pav.</t>
        </r>
      </text>
    </comment>
    <comment ref="C10" authorId="0" shapeId="0">
      <text>
        <r>
          <rPr>
            <sz val="9"/>
            <color indexed="81"/>
            <rFont val="Tahoma"/>
            <family val="2"/>
            <charset val="186"/>
          </rPr>
          <t>Fondas padidėjo 4392 fiz. vnt.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186"/>
          </rPr>
          <t>Fondas padidėjo 3978 pav.</t>
        </r>
      </text>
    </comment>
    <comment ref="C11" authorId="0" shapeId="0">
      <text>
        <r>
          <rPr>
            <sz val="9"/>
            <color indexed="81"/>
            <rFont val="Tahoma"/>
            <family val="2"/>
            <charset val="186"/>
          </rPr>
          <t>Fondas sumažėjo 675 fiz. vnt.</t>
        </r>
      </text>
    </comment>
    <comment ref="D11" authorId="0" shapeId="0">
      <text>
        <r>
          <rPr>
            <sz val="9"/>
            <color indexed="81"/>
            <rFont val="Tahoma"/>
            <family val="2"/>
            <charset val="186"/>
          </rPr>
          <t>Fondas sumažėjo 134 pav.</t>
        </r>
      </text>
    </comment>
    <comment ref="C12" authorId="0" shapeId="0">
      <text>
        <r>
          <rPr>
            <sz val="9"/>
            <color indexed="81"/>
            <rFont val="Tahoma"/>
            <family val="2"/>
            <charset val="186"/>
          </rPr>
          <t>Fondas sumažėjo 2973 fiz. vnt.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186"/>
          </rPr>
          <t>Fondas sumažėjo 641 pav.</t>
        </r>
      </text>
    </comment>
    <comment ref="C13" authorId="0" shapeId="0">
      <text>
        <r>
          <rPr>
            <sz val="9"/>
            <color indexed="81"/>
            <rFont val="Tahoma"/>
            <family val="2"/>
            <charset val="186"/>
          </rPr>
          <t>Fondas sumažėjo 12561 fiz. vnt.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186"/>
          </rPr>
          <t>Fondas sumažėjo 5068 pav.</t>
        </r>
      </text>
    </comment>
    <comment ref="C14" authorId="0" shapeId="0">
      <text>
        <r>
          <rPr>
            <sz val="9"/>
            <color indexed="81"/>
            <rFont val="Tahoma"/>
            <family val="2"/>
            <charset val="186"/>
          </rPr>
          <t>Fondas padidėjo 2021 fiz. vnt.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  <charset val="186"/>
          </rPr>
          <t>Živilė Levokaitė:</t>
        </r>
        <r>
          <rPr>
            <sz val="9"/>
            <color indexed="81"/>
            <rFont val="Tahoma"/>
            <family val="2"/>
            <charset val="186"/>
          </rPr>
          <t xml:space="preserve">
Fondas padidėjo 3850 pav.</t>
        </r>
      </text>
    </comment>
    <comment ref="C18" authorId="0" shapeId="0">
      <text>
        <r>
          <rPr>
            <sz val="9"/>
            <color indexed="81"/>
            <rFont val="Tahoma"/>
            <family val="2"/>
            <charset val="186"/>
          </rPr>
          <t>Fondas sumažėjo 1677 fiz. vnt.</t>
        </r>
      </text>
    </comment>
    <comment ref="D18" authorId="0" shapeId="0">
      <text>
        <r>
          <rPr>
            <sz val="9"/>
            <color indexed="81"/>
            <rFont val="Tahoma"/>
            <family val="2"/>
            <charset val="186"/>
          </rPr>
          <t>Fondas sumažėjo 3176 pav.</t>
        </r>
      </text>
    </comment>
    <comment ref="C19" authorId="0" shapeId="0">
      <text>
        <r>
          <rPr>
            <sz val="9"/>
            <color indexed="81"/>
            <rFont val="Tahoma"/>
            <family val="2"/>
            <charset val="186"/>
          </rPr>
          <t>Fondas padidėjo 2388 fiz. vnt.</t>
        </r>
      </text>
    </comment>
    <comment ref="D19" authorId="0" shapeId="0">
      <text>
        <r>
          <rPr>
            <sz val="9"/>
            <color indexed="81"/>
            <rFont val="Tahoma"/>
            <family val="2"/>
            <charset val="186"/>
          </rPr>
          <t>Fondas padidėjo 1747 pav.</t>
        </r>
      </text>
    </comment>
    <comment ref="C20" authorId="0" shapeId="0">
      <text>
        <r>
          <rPr>
            <sz val="9"/>
            <color indexed="81"/>
            <rFont val="Tahoma"/>
            <family val="2"/>
            <charset val="186"/>
          </rPr>
          <t>Fondas padidėjo 2185 fiz. vnt.</t>
        </r>
      </text>
    </comment>
    <comment ref="D20" authorId="0" shapeId="0">
      <text>
        <r>
          <rPr>
            <sz val="9"/>
            <color indexed="81"/>
            <rFont val="Tahoma"/>
            <family val="2"/>
            <charset val="186"/>
          </rPr>
          <t>Fondas padidėjo 6449 pav.</t>
        </r>
      </text>
    </comment>
    <comment ref="C21" authorId="0" shapeId="0">
      <text>
        <r>
          <rPr>
            <sz val="9"/>
            <color indexed="81"/>
            <rFont val="Tahoma"/>
            <family val="2"/>
            <charset val="186"/>
          </rPr>
          <t>Fondas padidėjo 2319 fiz. vnt.</t>
        </r>
      </text>
    </comment>
    <comment ref="D21" authorId="0" shapeId="0">
      <text>
        <r>
          <rPr>
            <sz val="9"/>
            <color indexed="81"/>
            <rFont val="Tahoma"/>
            <family val="2"/>
            <charset val="186"/>
          </rPr>
          <t>Fondas padidėjo 2275 pav.</t>
        </r>
      </text>
    </comment>
  </commentList>
</comments>
</file>

<file path=xl/comments2.xml><?xml version="1.0" encoding="utf-8"?>
<comments xmlns="http://schemas.openxmlformats.org/spreadsheetml/2006/main">
  <authors>
    <author>Živilė Levokaitė</author>
  </authors>
  <commentList>
    <comment ref="C8" authorId="0" shapeId="0">
      <text>
        <r>
          <rPr>
            <sz val="9"/>
            <color indexed="81"/>
            <rFont val="Tahoma"/>
            <family val="2"/>
            <charset val="186"/>
          </rPr>
          <t xml:space="preserve">Gauta 15,5% (2456 fiz. vnt.) daugiau </t>
        </r>
      </text>
    </comment>
    <comment ref="D8" authorId="0" shapeId="0">
      <text>
        <r>
          <rPr>
            <sz val="9"/>
            <color indexed="81"/>
            <rFont val="Tahoma"/>
            <family val="2"/>
            <charset val="186"/>
          </rPr>
          <t xml:space="preserve">Gauta 26,7% (2531 pav.) daugiau </t>
        </r>
      </text>
    </comment>
    <comment ref="C9" authorId="0" shapeId="0">
      <text>
        <r>
          <rPr>
            <sz val="9"/>
            <color indexed="81"/>
            <rFont val="Tahoma"/>
            <family val="2"/>
            <charset val="186"/>
          </rPr>
          <t xml:space="preserve">Gauta 44,5% (6267 fiz. vnt.) daugiau </t>
        </r>
      </text>
    </comment>
    <comment ref="D9" authorId="0" shapeId="0">
      <text>
        <r>
          <rPr>
            <sz val="9"/>
            <color indexed="81"/>
            <rFont val="Tahoma"/>
            <family val="2"/>
            <charset val="186"/>
          </rPr>
          <t xml:space="preserve">Gauta 73,7% (5880 pav.) daugiau </t>
        </r>
      </text>
    </comment>
    <comment ref="C10" authorId="0" shapeId="0">
      <text>
        <r>
          <rPr>
            <sz val="9"/>
            <color indexed="81"/>
            <rFont val="Tahoma"/>
            <family val="2"/>
            <charset val="186"/>
          </rPr>
          <t xml:space="preserve">Gauta 44,9% (2839 pav.) daugiau 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186"/>
          </rPr>
          <t xml:space="preserve">Gauta 43,6% (2406 pav.) daugiau </t>
        </r>
      </text>
    </comment>
    <comment ref="C11" authorId="0" shapeId="0">
      <text>
        <r>
          <rPr>
            <sz val="9"/>
            <color indexed="81"/>
            <rFont val="Tahoma"/>
            <family val="2"/>
            <charset val="186"/>
          </rPr>
          <t xml:space="preserve">Gauta 12,3% (460 fiz. vnt.) daugiau </t>
        </r>
      </text>
    </comment>
    <comment ref="D11" authorId="0" shapeId="0">
      <text>
        <r>
          <rPr>
            <sz val="9"/>
            <color indexed="81"/>
            <rFont val="Tahoma"/>
            <family val="2"/>
            <charset val="186"/>
          </rPr>
          <t xml:space="preserve">Gauta 27% (513 pav.) daugiau </t>
        </r>
      </text>
    </comment>
    <comment ref="C12" authorId="0" shapeId="0">
      <text>
        <r>
          <rPr>
            <sz val="9"/>
            <color indexed="81"/>
            <rFont val="Tahoma"/>
            <family val="2"/>
            <charset val="186"/>
          </rPr>
          <t xml:space="preserve">Gauta 23,6% (660 fiz. vnt.) daugiau 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186"/>
          </rPr>
          <t>Gauta 12,1% (167 pav.) daugiau</t>
        </r>
      </text>
    </comment>
    <comment ref="C13" authorId="0" shapeId="0">
      <text>
        <r>
          <rPr>
            <b/>
            <sz val="9"/>
            <color indexed="81"/>
            <rFont val="Tahoma"/>
            <family val="2"/>
            <charset val="186"/>
          </rPr>
          <t>Živilė Levokaitė:</t>
        </r>
        <r>
          <rPr>
            <sz val="9"/>
            <color indexed="81"/>
            <rFont val="Tahoma"/>
            <family val="2"/>
            <charset val="186"/>
          </rPr>
          <t xml:space="preserve">
Gauta 9,7% (567 fiz. vnt.) mažiau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186"/>
          </rPr>
          <t>Gauta 1,4% (64 pav.) daugiau</t>
        </r>
      </text>
    </comment>
    <comment ref="C14" authorId="0" shapeId="0">
      <text>
        <r>
          <rPr>
            <sz val="9"/>
            <color indexed="81"/>
            <rFont val="Tahoma"/>
            <family val="2"/>
            <charset val="186"/>
          </rPr>
          <t>Gauta 56,6% (4935 fiz. vnt.) daugiau</t>
        </r>
      </text>
    </comment>
    <comment ref="D14" authorId="0" shapeId="0">
      <text>
        <r>
          <rPr>
            <sz val="9"/>
            <color indexed="81"/>
            <rFont val="Tahoma"/>
            <family val="2"/>
            <charset val="186"/>
          </rPr>
          <t>Gauta 54,6% (3028 pav.) daugiau</t>
        </r>
      </text>
    </comment>
    <comment ref="C18" authorId="0" shapeId="0">
      <text>
        <r>
          <rPr>
            <sz val="9"/>
            <color indexed="81"/>
            <rFont val="Tahoma"/>
            <family val="2"/>
            <charset val="186"/>
          </rPr>
          <t>Gauta 17,7% (2578 fiz. vnt.) daugiau</t>
        </r>
      </text>
    </comment>
    <comment ref="D18" authorId="0" shapeId="0">
      <text>
        <r>
          <rPr>
            <sz val="9"/>
            <color indexed="81"/>
            <rFont val="Tahoma"/>
            <family val="2"/>
            <charset val="186"/>
          </rPr>
          <t>Gauta 18,7% (1165 pav.) daugiau</t>
        </r>
      </text>
    </comment>
    <comment ref="C19" authorId="0" shapeId="0">
      <text>
        <r>
          <rPr>
            <sz val="9"/>
            <color indexed="81"/>
            <rFont val="Tahoma"/>
            <family val="2"/>
            <charset val="186"/>
          </rPr>
          <t>Gauta 13,3% (770 fiz. vnt.) daugiau</t>
        </r>
      </text>
    </comment>
    <comment ref="D19" authorId="0" shapeId="0">
      <text>
        <r>
          <rPr>
            <sz val="9"/>
            <color indexed="81"/>
            <rFont val="Tahoma"/>
            <family val="2"/>
            <charset val="186"/>
          </rPr>
          <t>Gauta 19,9% (422 pav.) daugiau</t>
        </r>
      </text>
    </comment>
    <comment ref="C20" authorId="0" shapeId="0">
      <text>
        <r>
          <rPr>
            <sz val="9"/>
            <color indexed="81"/>
            <rFont val="Tahoma"/>
            <family val="2"/>
            <charset val="186"/>
          </rPr>
          <t>Gauta 1,4% (147 fiz. vnt.) mažiau</t>
        </r>
      </text>
    </comment>
    <comment ref="D20" authorId="0" shapeId="0">
      <text>
        <r>
          <rPr>
            <sz val="9"/>
            <color indexed="81"/>
            <rFont val="Tahoma"/>
            <family val="2"/>
            <charset val="186"/>
          </rPr>
          <t>Gauta 17,3% (782 pav.) daugiau</t>
        </r>
      </text>
    </comment>
    <comment ref="C21" authorId="0" shapeId="0">
      <text>
        <r>
          <rPr>
            <sz val="9"/>
            <color indexed="81"/>
            <rFont val="Tahoma"/>
            <family val="2"/>
            <charset val="186"/>
          </rPr>
          <t>Gauta 19,6% (2202 fiz. vnt.) daugiau</t>
        </r>
      </text>
    </comment>
    <comment ref="D21" authorId="0" shapeId="0">
      <text>
        <r>
          <rPr>
            <sz val="9"/>
            <color indexed="81"/>
            <rFont val="Tahoma"/>
            <family val="2"/>
            <charset val="186"/>
          </rPr>
          <t>Gauta 35,7% (2436 pav.) daugiau</t>
        </r>
      </text>
    </comment>
  </commentList>
</comments>
</file>

<file path=xl/sharedStrings.xml><?xml version="1.0" encoding="utf-8"?>
<sst xmlns="http://schemas.openxmlformats.org/spreadsheetml/2006/main" count="515" uniqueCount="101">
  <si>
    <t>Eil. Nr.</t>
  </si>
  <si>
    <t>Savivaldybių viešosios bibliotekos</t>
  </si>
  <si>
    <t>Iš viso</t>
  </si>
  <si>
    <t>VB</t>
  </si>
  <si>
    <t>Miesto filialuose</t>
  </si>
  <si>
    <t>Kaimo filialuose</t>
  </si>
  <si>
    <t>Fiz. vnt.</t>
  </si>
  <si>
    <t>Pavad.</t>
  </si>
  <si>
    <t>I. Klaipėdos apskritis</t>
  </si>
  <si>
    <t>1.</t>
  </si>
  <si>
    <t>Klaipėdos m.</t>
  </si>
  <si>
    <t>x</t>
  </si>
  <si>
    <t>2.</t>
  </si>
  <si>
    <t>Klaipėdos r.</t>
  </si>
  <si>
    <t>3.</t>
  </si>
  <si>
    <t>Kretingos r.</t>
  </si>
  <si>
    <t>4.</t>
  </si>
  <si>
    <t>Neringos m.</t>
  </si>
  <si>
    <t>5.</t>
  </si>
  <si>
    <t>Palangos m.</t>
  </si>
  <si>
    <t>6.</t>
  </si>
  <si>
    <t>Skuodo r.</t>
  </si>
  <si>
    <t>7.</t>
  </si>
  <si>
    <t>Šilutės r.</t>
  </si>
  <si>
    <t>Iš viso:</t>
  </si>
  <si>
    <t>Vidutiniškai vienoje bibliotekoje:</t>
  </si>
  <si>
    <t>II. Tauragės apskritis</t>
  </si>
  <si>
    <t>Jurbarko r.</t>
  </si>
  <si>
    <t>Pagėgių sav.</t>
  </si>
  <si>
    <t>Šilalės r.</t>
  </si>
  <si>
    <t>Tauragės r.</t>
  </si>
  <si>
    <t>Iš viso Klaipėdos ir Tauragės apskrityse:</t>
  </si>
  <si>
    <t>Vidutiniškai vienoje bibliotekoje Klaipėdos ir Tauragės apskrityse:</t>
  </si>
  <si>
    <t>Knygos ir serialiniai leidiniai</t>
  </si>
  <si>
    <t>Rankraščiai</t>
  </si>
  <si>
    <t>Kartografija fiz. vnt.</t>
  </si>
  <si>
    <t>Spausdintiniai natų dokumentai</t>
  </si>
  <si>
    <t>Vaizdiniai dokumentai fiz. vnt.</t>
  </si>
  <si>
    <t>Garsiniai ir regimieji</t>
  </si>
  <si>
    <t>Kiti dokumentai</t>
  </si>
  <si>
    <t>Kiti skaitm. dok. fiz. laikmenose</t>
  </si>
  <si>
    <t>Elektron. period. fiz. laikmenose</t>
  </si>
  <si>
    <t>DB fiz. laikmenose</t>
  </si>
  <si>
    <t>Iš jų skaitmen.</t>
  </si>
  <si>
    <t>Garsiniai</t>
  </si>
  <si>
    <t>Regimieji</t>
  </si>
  <si>
    <t>Mišrūs</t>
  </si>
  <si>
    <t>Fiz.vnt.</t>
  </si>
  <si>
    <t>Trimačiai</t>
  </si>
  <si>
    <t>Grupuoja-mieji</t>
  </si>
  <si>
    <t>Mikroko-pijos</t>
  </si>
  <si>
    <t>Miesto fil.</t>
  </si>
  <si>
    <t>Kaimo fil.</t>
  </si>
  <si>
    <t>Pav.</t>
  </si>
  <si>
    <t>% fonde</t>
  </si>
  <si>
    <t>MF</t>
  </si>
  <si>
    <t>KF</t>
  </si>
  <si>
    <t>Tauragės apskritis</t>
  </si>
  <si>
    <t>Vienas filialas vidutiniškai gavo dokumentų</t>
  </si>
  <si>
    <t>Naujų dokumentų procentas fonde</t>
  </si>
  <si>
    <t xml:space="preserve">x </t>
  </si>
  <si>
    <t>Iš viso % fonde</t>
  </si>
  <si>
    <t>VB % fonde</t>
  </si>
  <si>
    <t>Miesto fil. % fonde</t>
  </si>
  <si>
    <t>Kaimo fil. % fonde</t>
  </si>
  <si>
    <t>Nurašyta dokumentų</t>
  </si>
  <si>
    <t>Nurašymo priežastys</t>
  </si>
  <si>
    <t>Susidėvėję, sugadinti</t>
  </si>
  <si>
    <t>Nepaklausūs, neaktualūs, dubletai</t>
  </si>
  <si>
    <t>Skaitytojų prarasti</t>
  </si>
  <si>
    <t>Perduota kt. b-koms</t>
  </si>
  <si>
    <t>Skirtumas</t>
  </si>
  <si>
    <t>Kitos priežastys</t>
  </si>
  <si>
    <t>Gauta (fiz. vnt.)</t>
  </si>
  <si>
    <t>Nurašyta (fiz. vnt.)</t>
  </si>
  <si>
    <t>II. Klaipėdos apskritis</t>
  </si>
  <si>
    <t>Rankraš-čiai</t>
  </si>
  <si>
    <t>Kartogra-fija fiz. vnt.</t>
  </si>
  <si>
    <t>Vaizdiniai dokumen-tai fiz. vnt.</t>
  </si>
  <si>
    <t>Prenumeruojamų periodinių leidinių skaičius iš viso</t>
  </si>
  <si>
    <t>Iš jų:</t>
  </si>
  <si>
    <t>laikraščių skaičius</t>
  </si>
  <si>
    <t>laikraščių pavad.</t>
  </si>
  <si>
    <t>Gautų periodinių leidinių skaičius pavad. iš viso</t>
  </si>
  <si>
    <t>SVB</t>
  </si>
  <si>
    <t>Prenumeruojamų periodinių leidinių pavad. iš viso</t>
  </si>
  <si>
    <t xml:space="preserve">2.6. KLAIPĖDOS IR TAURAGĖS APSKRIČIŲ SAVIVALDYBIŲ VIEŠŲJŲ BIBLIOTEKŲ </t>
  </si>
  <si>
    <t xml:space="preserve">2.4. KLAIPĖDOS IR TAURAGĖS APSKRIČIŲ SAVIVALDYBIŲ VIEŠŲJŲ BIBLIOTEKŲ </t>
  </si>
  <si>
    <t xml:space="preserve">Naujų dokumentų procentas fonde: dokumentų gavimas/iš viso fonde dokumentų ir * 100 gyv., t.y. kiek tenka bibliotekų 1000 gyventojų  </t>
  </si>
  <si>
    <t>2.1. KLAIPĖDOS IR TAURAGĖS APSKRIČIŲ SAVIVALDYBIŲ VIEŠŲJŲ BIBLIOTEKŲ DOKUMENTŲ FONDO BŪKLĖ 2020 M.</t>
  </si>
  <si>
    <t>Fondo dydis 2020 12 31</t>
  </si>
  <si>
    <t>2.2. KLAIPĖDOS IR TAURAGĖS APSKRIČIŲ SAVIVALDYBIŲ VIEŠŲJŲ BIBLIOTEKŲ DOKUMENTŲ FONDO SUDĖTIS PAGAL DOKUMENTŲ RŪŠIS 2020 M.</t>
  </si>
  <si>
    <t>2.3. KLAIPĖDOS IR TAURAGĖS APSKRIČIŲ SAVIVALDYBIŲ VIEŠŲJŲ BIBLIOTEKŲ DOKUMENTŲ FONDŲ PAPILDYMAS 2020 M.</t>
  </si>
  <si>
    <t>Gauta naujų dokumentų 2020 m.</t>
  </si>
  <si>
    <t>Fondo dydis (fiz. vnt.) 2020 12 31</t>
  </si>
  <si>
    <t>APRŪPINIMAS NAUJAIS DOKUMENTAIS 2020 M.</t>
  </si>
  <si>
    <t>2.5. KLAIPĖDOS IR TAURAGĖS APSKRIČIŲ SAVIVALDYBIŲ VIEŠŲJŲ BIBLIOTEKŲ DOKUMENTŲ FONDŲ PAPILDYMAS PAGAL DOKUMENTŲ RŪŠIS 2020 M.</t>
  </si>
  <si>
    <t>2.7. KLAIPĖDOS IR TAURAGĖS APSKRIČIŲ SAVIVALDYBIŲ VIEŠŲJŲ BIBLIOTEKŲ DOKUMENTŲ NURAŠYMAS 2020 M.</t>
  </si>
  <si>
    <t>Gauties ir nurašymo         2020 m. palyginimas</t>
  </si>
  <si>
    <t>2020 m. spausdintiniai periodiniai leidiniai</t>
  </si>
  <si>
    <t>PERIODINIŲ LEIDINIŲ FONDAS IR JO PAPILDYMAS 2020 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</si>
</sst>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6" x14ac:knownFonts="1">
    <font>
      <sz val="11"/>
      <color rgb="FF000000"/>
      <name val="Calibri"/>
      <family val="2"/>
      <charset val="186"/>
    </font>
    <font>
      <sz val="11"/>
      <color rgb="FF000000"/>
      <name val="Calibri"/>
      <family val="2"/>
      <charset val="186"/>
    </font>
    <font>
      <b/>
      <sz val="12"/>
      <color rgb="FF000000"/>
      <name val="Calibri"/>
      <family val="2"/>
      <charset val="186"/>
    </font>
    <font>
      <b/>
      <sz val="11"/>
      <color rgb="FF000000"/>
      <name val="Calibri"/>
      <family val="2"/>
      <charset val="186"/>
    </font>
    <font>
      <sz val="12"/>
      <color rgb="FF000000"/>
      <name val="Calibri"/>
      <family val="2"/>
      <charset val="186"/>
    </font>
    <font>
      <sz val="12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sz val="12"/>
      <color rgb="FF000000"/>
      <name val="Calibri"/>
      <family val="2"/>
      <charset val="186"/>
      <scheme val="minor"/>
    </font>
    <font>
      <b/>
      <sz val="12"/>
      <color rgb="FF000000"/>
      <name val="Calibri"/>
      <family val="2"/>
      <charset val="186"/>
      <scheme val="minor"/>
    </font>
    <font>
      <sz val="11"/>
      <color rgb="FFFF0000"/>
      <name val="Calibri"/>
      <family val="2"/>
      <charset val="186"/>
    </font>
    <font>
      <sz val="12"/>
      <name val="Calibri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sz val="12"/>
      <name val="Calibri"/>
      <family val="2"/>
      <charset val="186"/>
    </font>
    <font>
      <sz val="12"/>
      <color rgb="FF7030A0"/>
      <name val="Calibri"/>
      <family val="2"/>
      <charset val="186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E2EFDA"/>
        <bgColor rgb="FFE2EFDA"/>
      </patternFill>
    </fill>
    <fill>
      <patternFill patternType="solid">
        <fgColor rgb="FFFFFFFF"/>
        <bgColor rgb="FFFFFFFF"/>
      </patternFill>
    </fill>
    <fill>
      <patternFill patternType="solid">
        <fgColor rgb="FFC6E0B4"/>
        <bgColor rgb="FFC6E0B4"/>
      </patternFill>
    </fill>
    <fill>
      <patternFill patternType="solid">
        <fgColor rgb="FFA9D08E"/>
        <bgColor rgb="FFA9D08E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C6E0B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59999389629810485"/>
        <bgColor rgb="FFC6E0B4"/>
      </patternFill>
    </fill>
    <fill>
      <patternFill patternType="solid">
        <fgColor theme="7" tint="0.39997558519241921"/>
        <bgColor rgb="FFA9D08E"/>
      </patternFill>
    </fill>
    <fill>
      <patternFill patternType="solid">
        <fgColor theme="9" tint="0.79998168889431442"/>
        <bgColor rgb="FFD6E3BC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434343"/>
      </left>
      <right style="thin">
        <color rgb="FF434343"/>
      </right>
      <top style="thin">
        <color rgb="FF434343"/>
      </top>
      <bottom style="thin">
        <color rgb="FF000000"/>
      </bottom>
      <diagonal/>
    </border>
    <border>
      <left style="thin">
        <color rgb="FF434343"/>
      </left>
      <right style="thin">
        <color rgb="FF434343"/>
      </right>
      <top style="thin">
        <color rgb="FF434343"/>
      </top>
      <bottom style="thin">
        <color rgb="FF434343"/>
      </bottom>
      <diagonal/>
    </border>
    <border>
      <left style="thin">
        <color rgb="FF434343"/>
      </left>
      <right style="thin">
        <color rgb="FF434343"/>
      </right>
      <top style="thin">
        <color rgb="FF434343"/>
      </top>
      <bottom/>
      <diagonal/>
    </border>
    <border>
      <left style="thin">
        <color rgb="FF434343"/>
      </left>
      <right style="thin">
        <color rgb="FF434343"/>
      </right>
      <top/>
      <bottom style="thin">
        <color rgb="FF43434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434343"/>
      </left>
      <right style="thin">
        <color rgb="FF43434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Font="0" applyBorder="0" applyAlignment="0" applyProtection="0"/>
    <xf numFmtId="9" fontId="1" fillId="0" borderId="0" applyFont="0" applyFill="0" applyBorder="0" applyAlignment="0" applyProtection="0"/>
  </cellStyleXfs>
  <cellXfs count="204">
    <xf numFmtId="0" fontId="0" fillId="0" borderId="0" xfId="0"/>
    <xf numFmtId="0" fontId="4" fillId="3" borderId="2" xfId="0" applyFont="1" applyFill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/>
    </xf>
    <xf numFmtId="0" fontId="3" fillId="0" borderId="0" xfId="0" applyFont="1"/>
    <xf numFmtId="9" fontId="5" fillId="9" borderId="11" xfId="2" applyFont="1" applyFill="1" applyBorder="1" applyAlignment="1">
      <alignment horizontal="center" vertical="center" wrapText="1"/>
    </xf>
    <xf numFmtId="9" fontId="7" fillId="10" borderId="11" xfId="2" applyFont="1" applyFill="1" applyBorder="1" applyAlignment="1">
      <alignment horizontal="center" vertical="center" wrapText="1"/>
    </xf>
    <xf numFmtId="0" fontId="5" fillId="12" borderId="20" xfId="1" applyFont="1" applyFill="1" applyBorder="1" applyAlignment="1">
      <alignment horizontal="center" vertical="center" wrapText="1"/>
    </xf>
    <xf numFmtId="9" fontId="5" fillId="12" borderId="20" xfId="2" applyFont="1" applyFill="1" applyBorder="1" applyAlignment="1">
      <alignment horizontal="center" vertical="center" wrapText="1"/>
    </xf>
    <xf numFmtId="0" fontId="5" fillId="12" borderId="11" xfId="1" applyFont="1" applyFill="1" applyBorder="1" applyAlignment="1">
      <alignment horizontal="center" vertical="center" wrapText="1"/>
    </xf>
    <xf numFmtId="9" fontId="5" fillId="12" borderId="11" xfId="2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/>
    </xf>
    <xf numFmtId="0" fontId="8" fillId="11" borderId="3" xfId="1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center"/>
    </xf>
    <xf numFmtId="0" fontId="8" fillId="11" borderId="1" xfId="1" applyFont="1" applyFill="1" applyBorder="1" applyAlignment="1">
      <alignment horizontal="left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left" vertical="center" wrapText="1"/>
    </xf>
    <xf numFmtId="0" fontId="5" fillId="9" borderId="11" xfId="1" applyFont="1" applyFill="1" applyBorder="1" applyAlignment="1">
      <alignment horizontal="center" vertical="center" wrapText="1"/>
    </xf>
    <xf numFmtId="0" fontId="6" fillId="14" borderId="11" xfId="0" applyFont="1" applyFill="1" applyBorder="1" applyAlignment="1">
      <alignment horizontal="center"/>
    </xf>
    <xf numFmtId="1" fontId="5" fillId="9" borderId="11" xfId="1" applyNumberFormat="1" applyFont="1" applyFill="1" applyBorder="1" applyAlignment="1">
      <alignment horizontal="center" vertical="center" wrapText="1"/>
    </xf>
    <xf numFmtId="1" fontId="5" fillId="12" borderId="11" xfId="1" applyNumberFormat="1" applyFont="1" applyFill="1" applyBorder="1" applyAlignment="1">
      <alignment horizontal="center" vertical="center" wrapText="1"/>
    </xf>
    <xf numFmtId="1" fontId="5" fillId="9" borderId="11" xfId="2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horizontal="center"/>
    </xf>
    <xf numFmtId="0" fontId="5" fillId="12" borderId="11" xfId="1" applyFont="1" applyFill="1" applyBorder="1" applyAlignment="1">
      <alignment horizontal="left" vertical="center" wrapText="1"/>
    </xf>
    <xf numFmtId="0" fontId="4" fillId="8" borderId="11" xfId="0" applyFont="1" applyFill="1" applyBorder="1" applyAlignment="1">
      <alignment horizontal="center"/>
    </xf>
    <xf numFmtId="0" fontId="7" fillId="8" borderId="24" xfId="1" applyFont="1" applyFill="1" applyBorder="1" applyAlignment="1"/>
    <xf numFmtId="0" fontId="7" fillId="8" borderId="25" xfId="1" applyFont="1" applyFill="1" applyBorder="1" applyAlignment="1">
      <alignment wrapText="1"/>
    </xf>
    <xf numFmtId="0" fontId="4" fillId="8" borderId="25" xfId="0" applyFont="1" applyFill="1" applyBorder="1"/>
    <xf numFmtId="0" fontId="4" fillId="8" borderId="26" xfId="0" applyFont="1" applyFill="1" applyBorder="1"/>
    <xf numFmtId="0" fontId="4" fillId="8" borderId="25" xfId="0" applyFont="1" applyFill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5" fillId="12" borderId="11" xfId="1" applyFont="1" applyFill="1" applyBorder="1" applyAlignment="1">
      <alignment horizontal="center" wrapText="1"/>
    </xf>
    <xf numFmtId="0" fontId="2" fillId="0" borderId="0" xfId="0" applyFont="1" applyAlignment="1"/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8" fillId="0" borderId="0" xfId="0" applyFont="1"/>
    <xf numFmtId="0" fontId="10" fillId="0" borderId="0" xfId="0" applyFont="1"/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/>
    </xf>
    <xf numFmtId="0" fontId="8" fillId="4" borderId="3" xfId="1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center" vertical="center"/>
    </xf>
    <xf numFmtId="0" fontId="5" fillId="18" borderId="11" xfId="0" applyFont="1" applyFill="1" applyBorder="1" applyAlignment="1">
      <alignment horizontal="center" vertical="center" wrapText="1"/>
    </xf>
    <xf numFmtId="0" fontId="5" fillId="12" borderId="11" xfId="0" applyFont="1" applyFill="1" applyBorder="1" applyAlignment="1">
      <alignment horizontal="center" vertical="center"/>
    </xf>
    <xf numFmtId="0" fontId="4" fillId="4" borderId="11" xfId="1" applyFont="1" applyFill="1" applyBorder="1" applyAlignment="1">
      <alignment horizontal="center" vertical="center" wrapText="1"/>
    </xf>
    <xf numFmtId="0" fontId="4" fillId="4" borderId="11" xfId="1" applyFont="1" applyFill="1" applyBorder="1" applyAlignment="1">
      <alignment horizontal="left" vertical="center" wrapText="1"/>
    </xf>
    <xf numFmtId="0" fontId="11" fillId="4" borderId="11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 vertical="center"/>
    </xf>
    <xf numFmtId="0" fontId="14" fillId="6" borderId="1" xfId="1" applyFont="1" applyFill="1" applyBorder="1" applyAlignment="1">
      <alignment horizontal="center" vertical="center" wrapText="1"/>
    </xf>
    <xf numFmtId="1" fontId="14" fillId="6" borderId="1" xfId="1" applyNumberFormat="1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1" fontId="11" fillId="5" borderId="5" xfId="0" applyNumberFormat="1" applyFont="1" applyFill="1" applyBorder="1" applyAlignment="1">
      <alignment horizontal="center" vertical="center"/>
    </xf>
    <xf numFmtId="1" fontId="14" fillId="6" borderId="2" xfId="1" applyNumberFormat="1" applyFont="1" applyFill="1" applyBorder="1" applyAlignment="1">
      <alignment horizontal="center" vertical="center" wrapText="1"/>
    </xf>
    <xf numFmtId="1" fontId="14" fillId="6" borderId="1" xfId="0" applyNumberFormat="1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 vertical="center"/>
    </xf>
    <xf numFmtId="1" fontId="11" fillId="5" borderId="8" xfId="0" applyNumberFormat="1" applyFont="1" applyFill="1" applyBorder="1" applyAlignment="1">
      <alignment horizontal="center" vertical="center"/>
    </xf>
    <xf numFmtId="1" fontId="14" fillId="6" borderId="9" xfId="1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" fontId="14" fillId="6" borderId="2" xfId="0" applyNumberFormat="1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/>
    </xf>
    <xf numFmtId="1" fontId="11" fillId="16" borderId="1" xfId="0" applyNumberFormat="1" applyFont="1" applyFill="1" applyBorder="1" applyAlignment="1">
      <alignment horizontal="center" vertical="center"/>
    </xf>
    <xf numFmtId="0" fontId="11" fillId="16" borderId="1" xfId="0" applyFont="1" applyFill="1" applyBorder="1" applyAlignment="1">
      <alignment horizontal="center" vertical="center"/>
    </xf>
    <xf numFmtId="1" fontId="7" fillId="10" borderId="11" xfId="0" applyNumberFormat="1" applyFont="1" applyFill="1" applyBorder="1" applyAlignment="1">
      <alignment horizontal="center" vertical="center"/>
    </xf>
    <xf numFmtId="0" fontId="14" fillId="17" borderId="1" xfId="1" applyFont="1" applyFill="1" applyBorder="1" applyAlignment="1">
      <alignment horizontal="center" vertical="center" wrapText="1"/>
    </xf>
    <xf numFmtId="1" fontId="14" fillId="17" borderId="1" xfId="1" applyNumberFormat="1" applyFont="1" applyFill="1" applyBorder="1" applyAlignment="1">
      <alignment horizontal="center" vertical="center" wrapText="1"/>
    </xf>
    <xf numFmtId="0" fontId="5" fillId="12" borderId="20" xfId="0" applyFont="1" applyFill="1" applyBorder="1" applyAlignment="1">
      <alignment horizontal="center" vertical="center"/>
    </xf>
    <xf numFmtId="0" fontId="5" fillId="9" borderId="11" xfId="0" applyFont="1" applyFill="1" applyBorder="1" applyAlignment="1">
      <alignment horizontal="center" vertical="center"/>
    </xf>
    <xf numFmtId="1" fontId="5" fillId="9" borderId="11" xfId="0" applyNumberFormat="1" applyFont="1" applyFill="1" applyBorder="1" applyAlignment="1">
      <alignment horizontal="center" vertical="center"/>
    </xf>
    <xf numFmtId="0" fontId="7" fillId="10" borderId="11" xfId="0" applyFont="1" applyFill="1" applyBorder="1" applyAlignment="1">
      <alignment horizontal="center" vertical="center"/>
    </xf>
    <xf numFmtId="9" fontId="5" fillId="12" borderId="20" xfId="2" applyFont="1" applyFill="1" applyBorder="1" applyAlignment="1">
      <alignment horizontal="center" vertical="center"/>
    </xf>
    <xf numFmtId="9" fontId="5" fillId="12" borderId="11" xfId="2" applyFont="1" applyFill="1" applyBorder="1" applyAlignment="1">
      <alignment horizontal="center" vertical="center"/>
    </xf>
    <xf numFmtId="9" fontId="5" fillId="9" borderId="11" xfId="2" applyFont="1" applyFill="1" applyBorder="1" applyAlignment="1">
      <alignment horizontal="center" vertical="center"/>
    </xf>
    <xf numFmtId="1" fontId="5" fillId="9" borderId="11" xfId="2" applyNumberFormat="1" applyFont="1" applyFill="1" applyBorder="1" applyAlignment="1">
      <alignment horizontal="center" vertical="center"/>
    </xf>
    <xf numFmtId="1" fontId="11" fillId="12" borderId="11" xfId="0" applyNumberFormat="1" applyFont="1" applyFill="1" applyBorder="1" applyAlignment="1">
      <alignment horizontal="center"/>
    </xf>
    <xf numFmtId="0" fontId="11" fillId="12" borderId="11" xfId="0" applyFont="1" applyFill="1" applyBorder="1" applyAlignment="1">
      <alignment horizontal="center"/>
    </xf>
    <xf numFmtId="1" fontId="11" fillId="9" borderId="11" xfId="0" applyNumberFormat="1" applyFont="1" applyFill="1" applyBorder="1" applyAlignment="1">
      <alignment horizontal="center"/>
    </xf>
    <xf numFmtId="1" fontId="14" fillId="10" borderId="11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1" fontId="5" fillId="13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1" fontId="7" fillId="6" borderId="2" xfId="1" applyNumberFormat="1" applyFont="1" applyFill="1" applyBorder="1" applyAlignment="1">
      <alignment horizontal="center" vertical="center" wrapText="1"/>
    </xf>
    <xf numFmtId="1" fontId="7" fillId="6" borderId="1" xfId="0" applyNumberFormat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1" fontId="5" fillId="5" borderId="8" xfId="0" applyNumberFormat="1" applyFont="1" applyFill="1" applyBorder="1" applyAlignment="1">
      <alignment horizontal="center" vertical="center"/>
    </xf>
    <xf numFmtId="1" fontId="7" fillId="6" borderId="9" xfId="1" applyNumberFormat="1" applyFont="1" applyFill="1" applyBorder="1" applyAlignment="1">
      <alignment horizontal="center" vertical="center" wrapText="1"/>
    </xf>
    <xf numFmtId="1" fontId="5" fillId="13" borderId="5" xfId="0" applyNumberFormat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7" fillId="6" borderId="2" xfId="0" applyNumberFormat="1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7" fillId="10" borderId="11" xfId="1" applyFont="1" applyFill="1" applyBorder="1" applyAlignment="1">
      <alignment horizontal="center" vertical="center" wrapText="1"/>
    </xf>
    <xf numFmtId="1" fontId="7" fillId="10" borderId="11" xfId="1" applyNumberFormat="1" applyFont="1" applyFill="1" applyBorder="1" applyAlignment="1">
      <alignment horizontal="center" vertical="center" wrapText="1"/>
    </xf>
    <xf numFmtId="1" fontId="5" fillId="12" borderId="11" xfId="0" applyNumberFormat="1" applyFont="1" applyFill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 wrapText="1"/>
    </xf>
    <xf numFmtId="0" fontId="5" fillId="4" borderId="1" xfId="1" applyFont="1" applyFill="1" applyBorder="1" applyAlignment="1">
      <alignment horizontal="left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2" borderId="1" xfId="0" applyFont="1" applyFill="1" applyBorder="1" applyAlignment="1">
      <alignment horizontal="center" vertical="center"/>
    </xf>
    <xf numFmtId="164" fontId="11" fillId="12" borderId="11" xfId="2" applyNumberFormat="1" applyFont="1" applyFill="1" applyBorder="1" applyAlignment="1">
      <alignment horizontal="center"/>
    </xf>
    <xf numFmtId="164" fontId="11" fillId="12" borderId="11" xfId="0" applyNumberFormat="1" applyFont="1" applyFill="1" applyBorder="1" applyAlignment="1">
      <alignment horizontal="center"/>
    </xf>
    <xf numFmtId="164" fontId="11" fillId="9" borderId="11" xfId="2" applyNumberFormat="1" applyFont="1" applyFill="1" applyBorder="1" applyAlignment="1">
      <alignment horizontal="center"/>
    </xf>
    <xf numFmtId="164" fontId="14" fillId="10" borderId="11" xfId="2" applyNumberFormat="1" applyFont="1" applyFill="1" applyBorder="1" applyAlignment="1">
      <alignment horizontal="center" vertical="center"/>
    </xf>
    <xf numFmtId="0" fontId="2" fillId="6" borderId="1" xfId="1" applyFont="1" applyFill="1" applyBorder="1" applyAlignment="1">
      <alignment horizontal="right" vertical="center" wrapText="1"/>
    </xf>
    <xf numFmtId="0" fontId="2" fillId="3" borderId="11" xfId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right" vertical="center" wrapText="1"/>
    </xf>
    <xf numFmtId="0" fontId="2" fillId="3" borderId="1" xfId="1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" fontId="2" fillId="6" borderId="1" xfId="1" applyNumberFormat="1" applyFont="1" applyFill="1" applyBorder="1" applyAlignment="1">
      <alignment horizontal="right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8" fillId="8" borderId="12" xfId="0" applyFont="1" applyFill="1" applyBorder="1" applyAlignment="1">
      <alignment horizontal="center" wrapText="1"/>
    </xf>
    <xf numFmtId="0" fontId="8" fillId="8" borderId="16" xfId="0" applyFont="1" applyFill="1" applyBorder="1" applyAlignment="1">
      <alignment horizontal="center" wrapText="1"/>
    </xf>
    <xf numFmtId="0" fontId="8" fillId="8" borderId="20" xfId="0" applyFont="1" applyFill="1" applyBorder="1" applyAlignment="1">
      <alignment horizontal="center" wrapText="1"/>
    </xf>
    <xf numFmtId="0" fontId="6" fillId="8" borderId="11" xfId="0" applyFont="1" applyFill="1" applyBorder="1" applyAlignment="1">
      <alignment horizontal="center"/>
    </xf>
    <xf numFmtId="0" fontId="8" fillId="14" borderId="13" xfId="0" applyFont="1" applyFill="1" applyBorder="1" applyAlignment="1">
      <alignment horizontal="center" vertical="center"/>
    </xf>
    <xf numFmtId="0" fontId="8" fillId="14" borderId="14" xfId="0" applyFont="1" applyFill="1" applyBorder="1" applyAlignment="1">
      <alignment horizontal="center" vertical="center"/>
    </xf>
    <xf numFmtId="0" fontId="8" fillId="14" borderId="15" xfId="0" applyFont="1" applyFill="1" applyBorder="1" applyAlignment="1">
      <alignment horizontal="center" vertical="center"/>
    </xf>
    <xf numFmtId="0" fontId="8" fillId="14" borderId="17" xfId="0" applyFont="1" applyFill="1" applyBorder="1" applyAlignment="1">
      <alignment horizontal="center" vertical="center"/>
    </xf>
    <xf numFmtId="0" fontId="8" fillId="14" borderId="18" xfId="0" applyFont="1" applyFill="1" applyBorder="1" applyAlignment="1">
      <alignment horizontal="center" vertical="center"/>
    </xf>
    <xf numFmtId="0" fontId="8" fillId="14" borderId="19" xfId="0" applyFont="1" applyFill="1" applyBorder="1" applyAlignment="1">
      <alignment horizontal="center" vertical="center"/>
    </xf>
    <xf numFmtId="0" fontId="8" fillId="13" borderId="1" xfId="1" applyFont="1" applyFill="1" applyBorder="1" applyAlignment="1">
      <alignment horizontal="right" vertical="center" wrapText="1"/>
    </xf>
    <xf numFmtId="1" fontId="9" fillId="6" borderId="1" xfId="1" applyNumberFormat="1" applyFont="1" applyFill="1" applyBorder="1" applyAlignment="1">
      <alignment horizontal="right" vertical="center" wrapText="1"/>
    </xf>
    <xf numFmtId="1" fontId="9" fillId="6" borderId="8" xfId="1" applyNumberFormat="1" applyFont="1" applyFill="1" applyBorder="1" applyAlignment="1">
      <alignment horizontal="right" vertical="center" wrapText="1"/>
    </xf>
    <xf numFmtId="0" fontId="9" fillId="3" borderId="11" xfId="1" applyFont="1" applyFill="1" applyBorder="1" applyAlignment="1">
      <alignment horizontal="left" vertical="center"/>
    </xf>
    <xf numFmtId="0" fontId="9" fillId="3" borderId="21" xfId="1" applyFont="1" applyFill="1" applyBorder="1" applyAlignment="1">
      <alignment horizontal="left" vertical="center"/>
    </xf>
    <xf numFmtId="0" fontId="9" fillId="3" borderId="18" xfId="1" applyFont="1" applyFill="1" applyBorder="1" applyAlignment="1">
      <alignment horizontal="left" vertical="center"/>
    </xf>
    <xf numFmtId="0" fontId="9" fillId="3" borderId="19" xfId="1" applyFont="1" applyFill="1" applyBorder="1" applyAlignment="1">
      <alignment horizontal="left" vertical="center"/>
    </xf>
    <xf numFmtId="0" fontId="8" fillId="7" borderId="22" xfId="1" applyFont="1" applyFill="1" applyBorder="1" applyAlignment="1">
      <alignment horizontal="right" vertical="center" wrapText="1"/>
    </xf>
    <xf numFmtId="0" fontId="8" fillId="7" borderId="23" xfId="1" applyFont="1" applyFill="1" applyBorder="1" applyAlignment="1">
      <alignment horizontal="right" vertical="center" wrapText="1"/>
    </xf>
    <xf numFmtId="0" fontId="5" fillId="9" borderId="11" xfId="1" applyFont="1" applyFill="1" applyBorder="1" applyAlignment="1">
      <alignment horizontal="right" wrapText="1"/>
    </xf>
    <xf numFmtId="0" fontId="5" fillId="8" borderId="11" xfId="1" applyFont="1" applyFill="1" applyBorder="1" applyAlignment="1">
      <alignment horizontal="center" vertical="center" wrapText="1"/>
    </xf>
    <xf numFmtId="0" fontId="5" fillId="8" borderId="12" xfId="1" applyFont="1" applyFill="1" applyBorder="1" applyAlignment="1">
      <alignment horizontal="center" vertical="center" wrapText="1"/>
    </xf>
    <xf numFmtId="0" fontId="4" fillId="8" borderId="24" xfId="0" applyFont="1" applyFill="1" applyBorder="1" applyAlignment="1">
      <alignment horizontal="center" wrapText="1"/>
    </xf>
    <xf numFmtId="0" fontId="4" fillId="8" borderId="25" xfId="0" applyFont="1" applyFill="1" applyBorder="1" applyAlignment="1">
      <alignment horizontal="center" wrapText="1"/>
    </xf>
    <xf numFmtId="0" fontId="4" fillId="8" borderId="26" xfId="0" applyFont="1" applyFill="1" applyBorder="1" applyAlignment="1">
      <alignment horizontal="center" wrapText="1"/>
    </xf>
    <xf numFmtId="0" fontId="4" fillId="8" borderId="24" xfId="0" applyFont="1" applyFill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 wrapText="1"/>
    </xf>
    <xf numFmtId="0" fontId="4" fillId="8" borderId="20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3" borderId="1" xfId="1" applyFont="1" applyFill="1" applyBorder="1" applyAlignment="1">
      <alignment horizontal="left" vertical="center"/>
    </xf>
    <xf numFmtId="0" fontId="8" fillId="5" borderId="1" xfId="1" applyFont="1" applyFill="1" applyBorder="1" applyAlignment="1">
      <alignment horizontal="right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5" fillId="18" borderId="12" xfId="0" applyFont="1" applyFill="1" applyBorder="1" applyAlignment="1">
      <alignment horizontal="center" vertical="center" wrapText="1"/>
    </xf>
    <xf numFmtId="0" fontId="5" fillId="18" borderId="16" xfId="0" applyFont="1" applyFill="1" applyBorder="1" applyAlignment="1">
      <alignment horizontal="center" vertical="center" wrapText="1"/>
    </xf>
    <xf numFmtId="0" fontId="5" fillId="18" borderId="20" xfId="0" applyFont="1" applyFill="1" applyBorder="1" applyAlignment="1">
      <alignment horizontal="center" vertical="center" wrapText="1"/>
    </xf>
    <xf numFmtId="0" fontId="5" fillId="9" borderId="11" xfId="1" applyFont="1" applyFill="1" applyBorder="1" applyAlignment="1">
      <alignment horizontal="right" vertical="center" wrapText="1"/>
    </xf>
    <xf numFmtId="0" fontId="7" fillId="8" borderId="24" xfId="1" applyFont="1" applyFill="1" applyBorder="1" applyAlignment="1">
      <alignment horizontal="left" vertical="center"/>
    </xf>
    <xf numFmtId="0" fontId="7" fillId="8" borderId="25" xfId="1" applyFont="1" applyFill="1" applyBorder="1" applyAlignment="1">
      <alignment horizontal="left" vertical="center"/>
    </xf>
    <xf numFmtId="0" fontId="7" fillId="8" borderId="26" xfId="1" applyFont="1" applyFill="1" applyBorder="1" applyAlignment="1">
      <alignment horizontal="left" vertical="center"/>
    </xf>
    <xf numFmtId="0" fontId="7" fillId="8" borderId="13" xfId="1" applyFont="1" applyFill="1" applyBorder="1" applyAlignment="1">
      <alignment horizontal="left" vertical="center"/>
    </xf>
    <xf numFmtId="0" fontId="7" fillId="8" borderId="14" xfId="1" applyFont="1" applyFill="1" applyBorder="1" applyAlignment="1">
      <alignment horizontal="left" vertical="center"/>
    </xf>
    <xf numFmtId="0" fontId="7" fillId="8" borderId="15" xfId="1" applyFont="1" applyFill="1" applyBorder="1" applyAlignment="1">
      <alignment horizontal="left" vertical="center"/>
    </xf>
    <xf numFmtId="0" fontId="5" fillId="18" borderId="24" xfId="0" applyFont="1" applyFill="1" applyBorder="1" applyAlignment="1">
      <alignment horizontal="center" vertical="center"/>
    </xf>
    <xf numFmtId="0" fontId="5" fillId="18" borderId="25" xfId="0" applyFont="1" applyFill="1" applyBorder="1" applyAlignment="1">
      <alignment horizontal="center" vertical="center"/>
    </xf>
    <xf numFmtId="0" fontId="5" fillId="18" borderId="26" xfId="0" applyFont="1" applyFill="1" applyBorder="1" applyAlignment="1">
      <alignment horizontal="center" vertical="center"/>
    </xf>
    <xf numFmtId="0" fontId="5" fillId="18" borderId="13" xfId="0" applyFont="1" applyFill="1" applyBorder="1" applyAlignment="1">
      <alignment horizontal="center" vertical="center" wrapText="1"/>
    </xf>
    <xf numFmtId="0" fontId="5" fillId="18" borderId="14" xfId="0" applyFont="1" applyFill="1" applyBorder="1" applyAlignment="1">
      <alignment horizontal="center" vertical="center" wrapText="1"/>
    </xf>
    <xf numFmtId="0" fontId="5" fillId="18" borderId="15" xfId="0" applyFont="1" applyFill="1" applyBorder="1" applyAlignment="1">
      <alignment horizontal="center" vertical="center" wrapText="1"/>
    </xf>
    <xf numFmtId="0" fontId="5" fillId="18" borderId="17" xfId="0" applyFont="1" applyFill="1" applyBorder="1" applyAlignment="1">
      <alignment horizontal="center" vertical="center" wrapText="1"/>
    </xf>
    <xf numFmtId="0" fontId="5" fillId="18" borderId="18" xfId="0" applyFont="1" applyFill="1" applyBorder="1" applyAlignment="1">
      <alignment horizontal="center" vertical="center" wrapText="1"/>
    </xf>
    <xf numFmtId="0" fontId="5" fillId="18" borderId="19" xfId="0" applyFont="1" applyFill="1" applyBorder="1" applyAlignment="1">
      <alignment horizontal="center" vertical="center" wrapText="1"/>
    </xf>
    <xf numFmtId="0" fontId="5" fillId="18" borderId="24" xfId="0" applyFont="1" applyFill="1" applyBorder="1" applyAlignment="1">
      <alignment horizontal="center" vertical="center" wrapText="1"/>
    </xf>
    <xf numFmtId="0" fontId="5" fillId="18" borderId="25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/>
    </xf>
    <xf numFmtId="0" fontId="5" fillId="9" borderId="24" xfId="1" applyFont="1" applyFill="1" applyBorder="1" applyAlignment="1">
      <alignment horizontal="right" wrapText="1"/>
    </xf>
    <xf numFmtId="0" fontId="5" fillId="9" borderId="26" xfId="1" applyFont="1" applyFill="1" applyBorder="1" applyAlignment="1">
      <alignment horizontal="right" wrapText="1"/>
    </xf>
    <xf numFmtId="0" fontId="5" fillId="18" borderId="11" xfId="0" applyFont="1" applyFill="1" applyBorder="1" applyAlignment="1">
      <alignment horizontal="center" vertical="center" wrapText="1"/>
    </xf>
    <xf numFmtId="0" fontId="5" fillId="18" borderId="11" xfId="0" applyFont="1" applyFill="1" applyBorder="1" applyAlignment="1">
      <alignment horizontal="center" vertical="center"/>
    </xf>
    <xf numFmtId="0" fontId="7" fillId="18" borderId="24" xfId="0" applyFont="1" applyFill="1" applyBorder="1" applyAlignment="1">
      <alignment horizontal="left" vertical="center"/>
    </xf>
    <xf numFmtId="0" fontId="7" fillId="18" borderId="25" xfId="0" applyFont="1" applyFill="1" applyBorder="1" applyAlignment="1">
      <alignment horizontal="left" vertical="center"/>
    </xf>
    <xf numFmtId="0" fontId="7" fillId="18" borderId="26" xfId="0" applyFont="1" applyFill="1" applyBorder="1" applyAlignment="1">
      <alignment horizontal="left" vertical="center"/>
    </xf>
    <xf numFmtId="0" fontId="7" fillId="9" borderId="13" xfId="1" applyFont="1" applyFill="1" applyBorder="1" applyAlignment="1">
      <alignment horizontal="left"/>
    </xf>
    <xf numFmtId="0" fontId="7" fillId="9" borderId="14" xfId="1" applyFont="1" applyFill="1" applyBorder="1" applyAlignment="1">
      <alignment horizontal="left"/>
    </xf>
    <xf numFmtId="0" fontId="7" fillId="9" borderId="15" xfId="1" applyFont="1" applyFill="1" applyBorder="1" applyAlignment="1">
      <alignment horizontal="left"/>
    </xf>
    <xf numFmtId="0" fontId="5" fillId="8" borderId="11" xfId="0" applyFont="1" applyFill="1" applyBorder="1" applyAlignment="1">
      <alignment horizontal="center" vertical="center"/>
    </xf>
  </cellXfs>
  <cellStyles count="3">
    <cellStyle name="20% – paryškinimas 4" xfId="1" builtinId="42" customBuiltin="1"/>
    <cellStyle name="Įprastas" xfId="0" builtinId="0" customBuiltin="1"/>
    <cellStyle name="Procentai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26</xdr:row>
      <xdr:rowOff>9524</xdr:rowOff>
    </xdr:from>
    <xdr:to>
      <xdr:col>6</xdr:col>
      <xdr:colOff>395405</xdr:colOff>
      <xdr:row>42</xdr:row>
      <xdr:rowOff>180975</xdr:rowOff>
    </xdr:to>
    <xdr:pic>
      <xdr:nvPicPr>
        <xdr:cNvPr id="8" name="Paveikslėlis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" y="5543549"/>
          <a:ext cx="5510331" cy="3219451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26</xdr:row>
      <xdr:rowOff>168</xdr:rowOff>
    </xdr:from>
    <xdr:to>
      <xdr:col>15</xdr:col>
      <xdr:colOff>211394</xdr:colOff>
      <xdr:row>42</xdr:row>
      <xdr:rowOff>180975</xdr:rowOff>
    </xdr:to>
    <xdr:pic>
      <xdr:nvPicPr>
        <xdr:cNvPr id="9" name="Paveikslėlis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7375" y="5534193"/>
          <a:ext cx="5526344" cy="32288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25</xdr:row>
      <xdr:rowOff>190499</xdr:rowOff>
    </xdr:from>
    <xdr:to>
      <xdr:col>6</xdr:col>
      <xdr:colOff>273965</xdr:colOff>
      <xdr:row>42</xdr:row>
      <xdr:rowOff>180974</xdr:rowOff>
    </xdr:to>
    <xdr:pic>
      <xdr:nvPicPr>
        <xdr:cNvPr id="7" name="Paveikslėlis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6076949"/>
          <a:ext cx="5036465" cy="3228975"/>
        </a:xfrm>
        <a:prstGeom prst="rect">
          <a:avLst/>
        </a:prstGeom>
      </xdr:spPr>
    </xdr:pic>
    <xdr:clientData/>
  </xdr:twoCellAnchor>
  <xdr:twoCellAnchor editAs="oneCell">
    <xdr:from>
      <xdr:col>6</xdr:col>
      <xdr:colOff>356526</xdr:colOff>
      <xdr:row>25</xdr:row>
      <xdr:rowOff>190499</xdr:rowOff>
    </xdr:from>
    <xdr:to>
      <xdr:col>16</xdr:col>
      <xdr:colOff>25284</xdr:colOff>
      <xdr:row>42</xdr:row>
      <xdr:rowOff>180974</xdr:rowOff>
    </xdr:to>
    <xdr:pic>
      <xdr:nvPicPr>
        <xdr:cNvPr id="10" name="Paveikslėlis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8076" y="6076949"/>
          <a:ext cx="5526633" cy="3228975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25</xdr:row>
      <xdr:rowOff>190499</xdr:rowOff>
    </xdr:from>
    <xdr:to>
      <xdr:col>24</xdr:col>
      <xdr:colOff>572699</xdr:colOff>
      <xdr:row>42</xdr:row>
      <xdr:rowOff>174864</xdr:rowOff>
    </xdr:to>
    <xdr:pic>
      <xdr:nvPicPr>
        <xdr:cNvPr id="11" name="Paveikslėlis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4675" y="6076949"/>
          <a:ext cx="5516174" cy="32228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3073" name="AutoShape 1" descr="data:image/png;base64,iVBORw0KGgoAAAANSUhEUgAAAeUAAAEkCAYAAAARhClzAAAgAElEQVR4XuzdB5zdRbUH8LPpvVdII0AIqZCELtIVe++9d5/6LM9envrsvRdExY6CDUUEfCpIk95LgBRCeu/tfb6zDF73bdjNZndz797547rZe///mTO/M3N+55yZ/0xDROyOchUECgIFgYJAQaAgsN8RaEDKn/3sZ2PWrFn7XZgiQEGgIFAQKAgUBOoRgRtvvDH+8z//MxIp/+Mf/4hjjjmmHnEobS4IFAQKAgWBgsB+R+DKK6+M4447rpGU//KXv8RJJ52034UqAhQECgIFgYJAQaAeEfjf//3fOPnkkwsp16PyS5sLAgWBgkBBoLoQKKRcXfoo0hQECgIFgYJAHSNQSLmOlV+aXhAoCBQECgLVhUAh5erSR5GmIFAQKAgUBOoYgULKdaz80vSCQEGgIFAQqC4ECilXlz6KNAWBgkBBoCBQxwgUUq5j5ZemFwQKAgWBgkB1IVBIubr0UaQpCBQECgIFgTpGoJByHSu/NL0gUBAoCBQEqguBuiPlLVu2xNq1a6Nfv34xYMCAaGhoiFWrVsWOHTti6NCh0bNnz+rSUJGmIFAQKAgUBOoGgboj5TvvvDNe+9rXxsaNG+NLX/pSLFy4MN75znemPb8//elPx4EHHpiIulwFgYJAQaAgUBDobATqjpR37doVl112WbzpTW+KlStXxrp16xIhf+pTn4oZM2ZEjx49UuTsZ8yYMdG/f/92Jelly5alOkXlQ4YMSRH6kiVLolevXjFy5Mh9itSVu2LFilT2oEGDonv37p3Wn9avX5/q7t27d4wYMSIWL14cX/jCF1KbXvziF4eTT84999x40pOeFI997GNj9+7dCX/ZCvJ2pqxtAYW8q1evTj9kHjZs2F7pim70qYEDB6b2bt26NX784x/HVVddFc95znOSvn74wx/G5MmT4wUveEHCQ0ZHH/HTUdfOnTuTXJxUbSJHa65rrrkmyTtx4sQk/xVXXBF//vOf43GPe1w84QlPaLU+4ZL7wfDhw6Nbt26tqf7f7qEb/W/58uUpA6bPGcdNL/dt2LAh1Wdcu0/mzHPsgr8939y1efPmMHY57KNGjUq6X7NmTRrL5G4tbnvduCYPbN++PelLO+hLX6rVi+1jJ2AqGKp2G9BZONcdKQOWIbruuuviwgsvTEbghS98YRxwwAGpUxjcb37zm+N3v/tdvP71r4+3vvWt7WYUdcK3vOUtiZze+MY3pvIvueSSeN/73pcG9Te+8Y2YPXt2mzonI//xj388zj777DjjjDPi/e9/fzKYnXWdddZZ8bnPfS6mTZsWH/rQh2LSpEnxkY98JH7zm98keThCffr0iU9+8pMxd+7clKX49re/Hccee2y85z3vicMPP7yzRG1TPfoMJ+OrX/1qPPGJT4y3ve1tqY2tuZBrbi+H5B3veEcceuih8cc//jE+9rGPJTLglN17773JWXz0ox+d6vrpT3+a+qa6xo4d25qq9vqeW2+9NenEYTSve93r4g1veENyHFq6Fi1alDJLf/vb32LOnDlx2223JXKi8yOOOKKlx9P3S5cuja997WvxzW9+MzlrH/jAB2L8+PGterbypk2bNsWPfvSj9Pypp56axkFzfZ/TqJ9+/vOfT/f9z//8TyKF//qv/wpkZxw+/vGP/3/1I+xLL700Hac3ePDgVP7o0aOTI8+GvOQlL0l9WP/u6Ov++++PT3ziE8kBYkP+4z/+o6Or7JDyt23blvrcy172suRcfO9734t58+Z1SF21VmhdkvI///nPNIgdValzGMDPfe5zk7HlET/jGc+Iyy+/PF7+8pcno8nYtMeFOF/96lfHL3/5yzSYEP7Pfvaz+OhHP5o873POOScd2dWWeW2RDoP+i1/8Ip0wgiAZ/pYu0cNnPvOZRJ68/srUve9ciBbJ+72n68tf/nIqx3ncjJ2sw1133RVvf/vbk0ETXfz3f/93PPnJT051MGLf//734+ijj05G5sgjj2xJ1P36PYcKCSHLpz3tafGud70rDjrooFbJhAwQBkIQRcIScYl2vv71ryeiF7294hWvSHjpJ+7/yU9+Ei996UvT/a2tq1UCVdx09dVXJyKlI04igmIkW7oQlTFifFx88cXJ0Xr3u9+9V1HyfffdlxyCb33rW/HUpz41/fuQQw5pqer/9z1HGrZwOu200xJZNtf3H3jggfjiF7+Y9Hj66acnR0n0y1FGypxJY7/pRfccKM46W+B5v/Xhv/71rymzoU4ZlNZcxioHTJ30ujeZEJiR86KLLkpOAoetFi92lh2URRMQscflhMJGTdYdKRtcBiGPk2FBEH5PnTo1fv/738e4ceOS9+97aW3pxOZSYW0ZCM2Rss4p9ccDFzW2NQ2GQK+//vq4/fbb47DDDkuRZ9++fVsUU9tFbhwCER0DlMlY5kAmAYEgDoZ3b0hZ2TfddFOKokwFKEc7XTfffHP6XLQ5ffr0lE6s5mtfSFmUnXFAOhwWuoGzaFHWhqHmmDDSjDVdMtywocv26oNNMeaI3XDDDUkODhUya+2aCv35lltuCdG2caJ/mL5o7cUh5rh5nmOsf8gY7O3VWlLO9WkvnEVmHAvO8d6SsrbSqUibPtmP1uJG3+rklCFYwUBrL33iwx/+cM2TMtvAEeXU0LnMRbXbgNbqaF/vqytSRoDSJb/+9a/jMY95TPKszX8aXOY8LQATJfg3r5oxRNIMomgHkZhHciE+BjZHtQzL/Pnz02Bn2HQ0JOfAaheCl95qGinrnMplpBlFz5mv02EZKWlL5MhJQGLkYwSam/ti4HjS5mcOPvjgJKu2+NvcExmRonZVDgD3MWzIQ9Ty3e9+N2bOnJkiH+Woy/MWySnffT73k1N2zUXK7vOMxXT+zXAjYYYbVn6kAZXDwJOVcYSDlC7S4mQwRJ6rrK+y4yNM99xzzz0p08GxQWbKZigRDx3DUdvpElYcDvfx1LNBZbjvuOOOhLfv6RhheLZppOw5mC5YsCDJpq8oV1u0VRRmDlpfkWLVXs8oM+P24IMPpmfIqC/qO9LHPpMi1m59SlmwoAsEQB/K9Jky1OG+PCcLE/Uph0Ok3bnP0EfuS8rX182raoO2wgL2+T7zruRWR6XTqH6Yu0+/1WbP69Pq9p2+p27f69Pw0hd8pi/rT3TnvilTpqT5UkRvXNGNe+j07rvvTvWow32Vc8+ZlGUXRMDS0HTA0VCu8QJvmChDnzSuyICURZv63Xvf+97kGNG/8ZH7UHORsvGsfeqAu5+Mm/6lv+W3POAGZ+2GtQjReIGrDJ15eHXlKQrjEXHnNQUyVDJNruZIWd+59tprU3nu1Tf8rS+bDvOs9sFaf9FP2ZZKJ4JTyFmBG2dFfzAes12qnD5Rj3KMERcdwU2mIK+9YPeMc5kwn5NFn4M//enn2snWue+oo45KOuWMwo/9mTBhQupL+reMjuyEwKWjHNR9JdP2er6uSFknf+Yzn5nSA1LT5oZ0YIPOgNE5dErzeOY7DG4pRR3cvTqQzuXSsaWL3ctQWcEt2kT6BrkOpFP7XoeXpmYcEL85ZdG6H3PKjAnDaU7ZAHre856XyFxq8ylPeUoypuaKc1oYOTBOlRf5kajFQ89+9rNTaovcHI88oAw6nV+qjaHIV46M/S0FLUUrEpBORAAGD6L2IzJwvzLJ+cpXvjLNAzYlZQPKXKFnGCIXIyjdeeKJJyYZpBzPPPPMlLJFOtKB6lKvNKQ2Sa1Kc8PRHBojW3mJNtSjLCRmEDPopgGUe8IJJyQDwuAa7HTA4DHMjIDv6c5vhEBe9WmnCw76gXleUwLmI5/+9KenZxhesqrXPY961KNSP2FYEC9i0p9kIhjT73znO2lRFN1oh/lIGQgGh6FDxuZ1pVDNtUpfm+PVT/70pz+lND/jT8/0yBlQn/UP+pz0cyZ79Zqno0+GGrYMGiJV9mc/+9kUoekr5q6NCenZ17zmNamPX3DBBUmn+jB9M7x05XtzyAwyzPU3xMTAw5BsDKrUsFSx1K7+zeGQgTKFYTxIk7tf+/U341IEqM/SlfHgOXqEL1nUZdz6vjKiRsra6n64ciDoRj36qSkAcpPROgbjx7iiO06CqJXh1zeQhh+krA/qQ9rTNH2tHvqAG0ebTmErla/t2qH/klO/Zxee9axnJV2xG9m5972xaJyaVze1Rj7l6MtIEbHRLfJGrJWRsnItuDNO9A04IUHjUp9SljUdnEM2hMzqgXtlVoODoe/pp6aYzFnrv+6hA3pD5MYyO3T++ec/3AZYmZYxBthFmT/6pAd2Dwkbe2TkkLCB9O8+U0GcZ/fpI7Bkp9xrrl4//sMf/pB0iPjVm7Nt7UWC1VZOXZEyb9EA1Dl1eMaVARQ158jRwGI4zdnoiDoQY6Czi+B0HB2YgWE4fvWrXyWjx/Ayujq2f2dSVr6OhYg935SUdTiGDIkhBKSsfoYaSWdSZnQ++MEPpoGBGEQ1lZe2MSA/+MEPkiHU6Q1wshjIIk9GkIePTA2Y5q4cDWZSZjAYTe2HES+aIeG0IFJExbBnAshzygY3eZEmAkEWiPBVr3pVahOy0D4GAmEoi2FjYJWZSZkBQroGKN0Z9JUXQkCQys4RmbUCIisD3DMMUp7bZrC0wTyelc+MMcPme2TN4NAX4kHavucQ0CMMYK+9CIqB51Qx+NYIiOjo8rzzzkuOlDLgLXrTn7SXbtyD9PUvAxAZiJT0K7KJnpSNLJWLcBE4Q0XvcM2kLP1pPYA5bk5LnrJApOqEX3YaOJhwsYbBVI1y9X06txAPBvonB4BsIlvy5L6MwGClb2V59AWkgciRoL6LPBCyfvOiF70oyZtJGXGK7PzmnLmPg4Cw1Mkg67MMNYcjk7I+oW8bX4x/JaFkUtaPEJFoXf/1VgPnlmNJZuTEIUHGdKjdojd9hCNFRoZfXxVBI1XywxA+8M1zysa+z+kPycLu73//e3Kg9H11GgvwVpa+yZngrGmzcW/M0uPxxx+f5tQ5k5ms9B3RJOdHild72AeXepGmvqHvqF9gAVPyZj3Rx1e+8pWHSdnznkWYHP7KhWnkNDbVZWwolw6sNWAr9R24cXCNK5kj7TO+jQFjRn/SfuOPbeW4WOOSSVlfNXdMbljAhS1g8/R1Nkn/EvzQDSJWrr5qTHAqZTlrecV5axyAuiJlgCAoRvy3v/1t6myMdI6q/DYQdYBsmBhcA53xlzZh7KQEdUDGhYcnQmJo90TKDJbO+UikzJAYNMizvUkZsRgQyhXxMGh7evWkKSkboKI1TojfVqd6HgmL5Hi6DAk8Kxd6GZi8cu3yPePDeOZNW0TMyFa0VknKBjkjXUnKUuoWhDRHygwb0uFMaZO/ZSxEDxa8MeAMFqOpDQyPqIPBQRpkQHQIwDRCjizplyEkD6KTDSGXZ+hbX2BUGHr3csxEFtrKm2eU1Mm46T+wYAgZTZ8zyrIFjLVnkJ9I3UVe+Pz85z9PRk6795aUlYMcELC+h1AQN5n1BTiJzrQdGfrcuND3ERdZOR4iLn0ACfgMqejrHBhlIxR/az8dMNawQTx+ODQtkTLCRcqcDqRMDoa6LaSMyMjDMeCUaquomd5lAoxRumhKypwkUTjCMK61FaGZ66R333NYMimLwBEc51S5SEs/5dRxwsjO0WYr/JuDBAt1cwDo1XiAjTHE7ugTPvecfmvsSKXrkxwkfUI/US/7ZCxyPGBGNv1QX/W3tuyJlGFNx82RMsz0XTLrh3DQ5/UF44p+8xSWf0tzw1SfR6iIm7OrTRxofbglUjYW2RKkTG4BiTbnSLmQ8kkntYbMa/YeRCyNzeOibGk6BsoA4IlLVYlmGEHGCinr3Don4yYN437GWhpFZ2L8Mykz+IxuZaTcVlJGGFJJiGxfImUDlfyitpbeBWxKyqI/RifPEYmMpAERjR+RLmPBo/ZsjpQ9hwQ8B4tTTjklGSXeLmPAALcHKeuIDCPDIJphULNsjIvogc7pBOmSFfHAVCqNjnN0jnwYSTLz8smsL4gEtVv7EA1j5Yfx1A4YwFW0gWBFDhwNEQUyJxMCowPOBYKUIhc5I2kkZAqAw+dHipAczZEyUvQd4yx9vadIGS6iDHUylBwJ+oAR4hClehY22oCUyZ4jZ/IhV32HvvVhOlUvwvAdckDO0qZe9UJ0sIInQy6NmyNlfYBT1FyknEmZLhAWPHKkrL9wulqKlPPqayRKT8gZPp7Tz0SHcDNetb8pKWuf73NmS99AkNoGP/rOa06U35SUEZ2+xZ6wATDiJHK0jF1t48DRuYyIe+Dkc7K4TwYvO5H6pz6FrDk7nBQZBJEl3EWW+qu+xTHS/tyHKklZmpqTIFuUI+VHImVOgCiWfOwemyc7oV8gZW3SRpjSlf6qX4jy6ZoDg1QzKXueLtjNPUXKhZT/nU7rLlLOzWewdHbkqxMawAyGzshb8zlDysNmtBA248Qo+m2uTUc0OCpJmSFm/KTCLFiRlmoLKfM2ebM6t7Sx+kU2Fm7sbfra88piMPeWlBkLxgmhGVxSR3mBiAEqIkFcjFhlpCx9xziQG5aIRhYA1tqkDQxU00iZw2RgM2A5Vee+PUXKcIKLjowkGUtZDfo0z1VJytJ6IgBGENmY32MoGDZ1igakzqTYzCEqR5lIAsHn+U+GmiFiXEWSIln3VZKyduoL5ombkjIjl+fb3cPYVs6Vi8q0iUFrGimrG3lwsJAV+UUpTdPXuZ/nFLa+/vznPz/pkTPKMVA2nCpJWV8WzZluEen4yfr2W1pVWlFf4LzISJj/lI3h0JqCQAKiTDrWN8hI9xwC+jCfWpm+bo6UjR8kx5nQd9yDtPaUvkZKeaGXDIQMABw5UfRG5wjPVFRzpMzRRnb6pvHKaeeMctaVx9F7pEgZmbMX8BZt04dLW5EZfXIY6F1GJZMy7GWwRJy+Q9LIVnSZx2reXAPu7A889V260OcQt/pg48qkLHDgGOnX5Mjz7i2RMlmV5XmOIVk5XfCncziI3GEs00g/SLcpKec5Zdkg92c72jR93ZSUjWmOkOwDO20skrmkr2s2Ft6z4Lw6Ay5He+5kXEVwvD/GVQpIZ8ikbCAYcDoKY+hez/C8GUWDXESVI2UeJUOgQ+YFXQZXa9PXPGIGRFTBSORoy0BETrzivSVlXreIqS2kzBgx4Iw5Q2twVi6y8W+RL8PXlJThbVAxjuZjDXApN4TFUJGpKSlLuTLASJBD4F7YyVg0l74W+eT3vBk0EaAojw6knytJmQ5FsBwtaXwyi3r8GxHllLk+gnC11/wwg4A46RN5y16ISkxdwEcdDKv+kCPlPZEyw8XYc1bUn+fUpX8rI2VlNkfKSF6/4Axpj38zlHsiZe1Abgyb9QGMIyOPoPRrjmMlKdMvEqIrxhfJVs7fipDpWxmiR1hxdmBlbhsJc2K0Ly8qoh+rjzkP2qU/7omURd6wVidyICOSyfPvZHqkOWXTJEiXAZe21japXqlVbUFMzaWvRZLqRUZ5wZ/6TWnpj0jzkUhZ9gVu+jUM9BPttGjMuICHe/ybXKaCkB5s9K8cKavT2g+p8Mr3lznAcDeW8pyy9K7P1WWtiTGGqDMpk1l5bIjnYMFetYWU8xoK/QKOOTpnQ61/UHclKYvoZRJF5+wj588Y1lcfiZTpSdbGPDlsZBM4FtpMF/pQmVPuQuSsY+oQVi5bWGPQiHiRHfLg9fNmEW8mZQTtb9FAXhTGS2XkEJJOLrrQKQ12BKwO3/HezSkh6NaQshQs75MjwFNnqEWIPGvPmz8S/XUmKYvgkCFCgpkBLXoy4C0KQZ4IghddScpWn0pvIQKkZ0EczAzW5kiZgTcQpaIZAORgdSY9IBIyNEfKcOKwuAduSEv2gmES9VSSMh0iBwQqckOq5tDy4isGw3Nkll1gABj0TDR0wADqB/oFA6zdCEA9ymyJlPUl91gUJGqHo2yKiJBDAitRcOVCL+0mG8NkoQ0MORywMW0gWkHKDH3Td9NFyAw8whDNIH6OgLJEtpm4GEKkBEPEhdiknLXVlER+7SZvtENP0pQWRinTmBAlIgrOK30jT8TCgfXbZ0hXtqcpKbsH8Yr89A9OoD7AydJGTjPdtkTKZIElx4nDIethURbMOYB7WuhF77I7+oYMGFvAyZJd4NTAH757mlP2nX6HsET5CFiE6Dk2Qt+AOYcbBmwEXRrPMHavuVpOASKiY06iCJ7TQ3d0jIQrV1/LSqiTg6ZsDoTIlePHsUdk2kQODiz71BZSpgsEy/EiIxuqDtkkEb5UN1Jmm9g8Y48cbIMfY99YZXObI2UY6VvayIGhC/aAU6l8/biQchci49wUpKaz6OQ8fT86PUMmGtQJ/JuBYMB5ljogY8zQ8GYNWB07LyxCVgYPT1AEhkjyu8u8V56yOqR3GTCpccY+r6plbERviBuJI2KLpnRORlrEoCPzni2eUoYosOnOR3kLT0TBkCiT0RS1cBAYZuTRUvoaUXAwyI6AGAtt4rUiEnOQyvCbXBwReBmw7rewyWeMBAPBsDEkIqqcepNNYPTznDIjLPIUOfKKpUK1W0qYU8BAMziyGE23YcwpXHqAAZ2K5mQzROX05jKnDD+kl1cKi3LJ6x6GA/6wZUzIrDz6kAVhlLTHXGl+JYpBQi5wQZyIgFHKUyL6jjllRpbjkBd6KU/7tFWdCI+OEApS44jBBjFIMdOhPqR+ZE1ubeQ85GhMNOTepqSsTNF+XvBEHsYUAfs3pxQZMuCMu3FgxW/ObOjn+rNyyCyScQ+CRfSivXyJ0uDMqUI8+pJUOVkRKv3DlAMsguPM5tXXmZThoO1wpEN/M9ZSnAw0sqOvykVK8NW/fc5hhIF71eXf3jYwHrQDKZMLEdIlWwAPTp3+hsi11bMySwjQ2EMq2o1c85wyTDknCJlO4aY9HIGso7ynNieOfYE5m0CXZNHPch/kjNG578gDb7K4ByHJRujf2skBom8ycYj8W18wlmApomVDYAMD0SVniF683icAqMQQkdKtAIAzJWVNtxwN7aMrZbJz/ubEqS+PN2MK+WuT53KQQn71c8o4xOpXNlzz6mu6RcqcRHjCiq1WPhk5Zhx82LOXrdlxrpbpq67mlA0QnUKjdS4DjxeNJHhmDIdOZGDwnBlZg8FzSFpkqPPpoF7hQZq8Q/M/OqcBzhv0nYEm6rZqVTTE2DIYyJnXisgNjhwF88AZHOlrdahLhGBwu1eZjCCZEAC5m14MIOPKmHgGYTGeBrcBw+i0tOsQedXrXt66ehCCQeJzRouxNEAYEelCAx4JM1ycCxEJA+h+eDMM5kKlsRCJQaoeAxBO5o9FF+a9GBvzuoyxwYhIYcpgwLrploR0wxgiQotUyGu+k5FRJrKFP7IgO2cIxqIU0TCyZawMfm2EOwPA80cidE2/5LGAS5sYDzIzsCLp/FoT3OlW2crVd2Cvn2mX+0S4+dmcbRCtIz/1+Y4jolxOla0HyUA++oSb6NbcucyFdsMLsTDGzW2s4Dkre/VpZSPNvHkEGejNK2WiLgSkj4jMtMWPeX6pSM9ok7plnbSHw6S/wpycMj3arM943SivJyCrfoKwfIdY3Jvfb0ecDDXd0AOs4eJveOsHMGHQjaVK5xLJcxzphtPKyLuX3KJ8ulCO+5SjvdoiQ6EuTrI+qT/DUj8xVj3HKYOp/sTx0w84ZfBQh3v1az9sB9yMBY4anRoncKH3TGLmgNkf41W59M5J0HeNFZhqvzEPS/2PrYCxNsHUPca4et2HmJVlzOjzxpLxpT/LpOib7BXH1zoIDlglhuRGwBxN496CPno1FmSU1C2LwkEwzkTM+g6HyZiGKx3rg+5RHgKVMWPbYKndnoOHfg4nmYI898wWwEyfg42L3PDnRCqDs7Y3u8bVIjnXFSlTkI5hcPptEOmYlFxpzJAOQ+pz5JJXn3rO5XPP+2Es87P+RqJ+ey5vRuJvg15dvmeUDG4/+Zk8Z5RfVXKP+sjI62d0DRLRog6NnJoSrPvdk+vOZbuPnC1FydrmeT9N5cnzw+TKuJFf23PGQf0Zz4yZ+xGn++CRZcj1+Fw56stz/r7zPKMnomYgpS0RRnP7Cytf3XSmHGXmf6sTiWVSFvHLlrjHvZW6Vw5590ZmsqpbeXD3bNO+k1dCV+om7/6UcdD2jBG5lFnZT9xPPvdnGaUjRZUcI1E5o9jc1qoZH8817e/5u7zRRV4vQB73q889ZNI+P/5dKYv2ZT1W9rHKsYb8yEqnHEQ6YNRNHTHeMkiIGnFXlg0HhMMYI0gOKZKubGelrDmT5bm8kQwdZ7zzuMpjxD3GZG5fxlY7KsdMHkvamufUYUPXeSz7LsuSx65yfN90P/vKPpvrymOgErcciebXGDM2lfVWlqWuHGHnvqVNHByRsygTzrIalbv6ZRz8znYvZwzgQ8a8Ej9jkbNmdK+uvN4g45DtUe5zystYy0bJ4OQ99f1bJF1Zp/JlFUTmMgcyHJyTvdkrvJByLSJQAzJLn0th6sgGlRQmYu7KHqPBKQ0ukuL1izT8jZj39uLtI2WpWvOD5oj3dETf3pa9v+6X4tcWaUhGT/QmmkBY1XjlOXEZA31YxM5oi95EsZxNjkVT8tLOHE0z+qIlaWMRcLlah4DpkbxpB+KXTZC6lxnYHxedCjJE/BwGkbnpr6ZjEtHLGJgD11dE5aYOZDi68lV3kXItKhMZm4/k7UodMmDS7a2JfGuxvVlmqW8rqaVBGRBpy6Y7mbWmfbxt+FlII3UnxdeWk7haU1dn3cOYGbyiZUZOSloEmvdI7iw5WluP9RjWSuRUMT2KfsgubS7t2ZzsDLM0p8U/UubS+dKo1drO1uLRmfeJqk1PGANS3Bw3GYc97erX0bJxsq0BQLjWrHDGmjsIhWOuf0i5570DzN1XbhHc0bLuj/ILKe8P1PeyTmkciydyikgKt6tvyg4ixsTcbk7j8qTb0m7pNuUoT8qu8pW4vVRFVd0ueshTLVKLfva0U9v+Fst3/zIAACAASURBVDynWM0ZSslyivIUUJZ9T+sd9HvP5f3p9YNqbef+xnlP9VeOJdhbP7O/MNQX6FMqmyzs2Z4CDPcau3lqjNxtsQHVqpfm5CqkXEvaKrIWBAoCBYGCQJdGoJByl1ZvaVxBoCBQECgI1BIChZRrSVtF1oJAQaAgUBDo0ggUUu7S6i2NKwgUBAoCBYFaQqCQci1pqwNkzYttLLTYm9Xc+X1CInlufy0a6QBIOrRIC27ye9utxaw5HeXdy/ZGZ00b1lbd7wtA2l75Pvm+lFWeLQh0RQQKKXdFrbayTYyjzRu8uG+nMO/v2gWrNZddfbzM7x1I71DbwKKrr4psDS6PdI8NNLzeYXtB22J6t7jycI/mnrW62mthdlWybajXgWDvXXV4K2dv3ze1mt1rRva4tuOSXZNszmKXq468rKL1SpR3Ur1vbmtIuz2VqyBQEPgXAoWU67g3eM3AnsD5BJt8rm9rIPHOtH13na5jD2dbitY6KeezYb2qYdcmP62NZluDmcMW7Cts0wS4ez+zuR3KKsvyTifnJ5/F7GAFW23aOATedmeyReXeXN5VtQmD/YZdSN3GI9517shLW+zqZZc2m4CQwXau+3rRG+dQn7TNrPf66c72qeqpPBaTk2MzGTuLuc+WnPpu3hI1y5Lf7bWbmPepvUudjxN1jzptb0kXtviUAbBdpi1mvXNbroJAWxEopNxW5LrAc97/9DK+iIlhZ/CbHviwp2YygPYhZmjtuNQVSNm74DbUt4OafchFpe0ZySFDBwYgBKQMv5ZImdNTScqesz+xPYS9cy3DYSOZvbnsEW1XLOXYwhCR2GXLfs4deWVS1p5MynZp2tcLIXMwcuYmp/a1x4lYtpe0haN9o+0F7+AU+4G7j2ODtO2rzsmkDyQMXxG9/ez1Abqy4UYmZJ8789c+2ojeZYc9h77QkaMNy1UQaAsChZTbgloNP2PDe7srmU+0hyxDhpSRUCUpiwTsTYyo/Nu9fvIcZnOkLPJm0Fx2XGL08slajH7eM1y5Ng+QKrcZgDqQDyPKKNrM3mf+VifD6TPG18YRymqa9pUaVRcZlFF5D+fD8zan8DkjiiC0hcFVpntEsgwtw+1UKqfV2D2IjAw6mchDLhG0v9VJPuVWnrqTu4h2qYu8fjuRiSGvJGUyKydvrJGxVkcmZdMMiMNz6keo5Idz3sMYPsoRtWXsKuecfa4deS9pfzu5yKEA9pymH5+R0w+9O3TDdzkLQlYy+U6bs84zBpX7KcOAXvSJfNqRQw9E+Q6BESlnUoa/cvVPWCm7JYclY6zddgsTJSNFdTrExI5Rdg6TAbK3tl2h7LVsL3RTAXZ2c2ADfdtX24EYjn1UltOe6FM0DDOpdoc4uHxme1MHxIiOOW9ws7uaw0hMAxlXsKu86Fc/zKc2aS/ZtZMeleFveLlHFF/r2acaNpX7TfRCyvsN+s6v2HaV5jRFSgwXo2QbO/OL+ZxfkbK5TyfiOKrN1oaMhWgMcYs8EFklKSvTnLKj5USZ9tYVnahPatsJUdKjttRjcBALYyiV62ACJ8Iow37GCIkxFckgRKdDIXdHUppLtTWgIzLtl5sPO5eO5FhoF6NmK1Jyiv7VTQ5EoM2MNtnNpSIQhMRgm2d1jwgJ2SJiRtVcK4I2h+ukJRETrHxPblkCJwEx2vbnzhcSIg8ytV2oupyCI1q25WEmZXs/M+b2hGbsOQ4IgkyIS9sZ+EpSdkIQXMnn1CuHC1x22WWJKJxyhOBspSgKlnbNhl374YRwbD3qQt6wtHUr7B0OYf4a1i4Rpva7R0TpVCTPcwpEg/YTN0euHKcTIai8DSKCIhMnBL76kPbRr3uRGlLW3xCjep2ehKSk1B1hiSRbWsxWuUMUB8v0g/7rWM18vjkslC9ToR9yvhzgIfXsPqe1cVDoURvhQ8f2iHa6ligZRi7tQuDaYdtW2SbOSd6jnj7op3J/bnpkbDkFUvbaZy2Hfq6PaisM4UW/CNm2svp/c4eMdL71KDV2FgKFlDsL6f1cDyPKeCAdRtoxcTx1JClyRD4iZQYROTEwPkdw+ehG3yFSeyw7uQpBiSLyGcif+cxnkkE0z8mIM7ROZWKMlYkoRMmek8J1wASCY0DNMyKlHAmL+JQtmmbI1Y1URBq5PEfXMZieRfI58uZoiEoY4te85jWJQPJ5yjmKZsjzma3ktfDI2cYMNzkQLQeAUTSXyIiLvmBkcRUDSm7tE+VIB1emLEVl5NJOciE8bSK/CAyOMFcG/GCtTPfAiJODuC2+yunrHCkjQWd9c47IrmwEZzD7TMSLmDlRUrI5LQ0TR4dK0TP8LidwcYwcHciJyOfhahPHAnYcCuQDT/uHq5sToVzERT8w5yTkc8m1gZOWF6TpR/SnPLJZ5AZTsnIUOB3qy/fRgXleOMFiby6OGScO2cJGpCzNz4HiUGivvor4OGx0yOHi7Pm3vuGH86R+Tl8lKcPO544rtC6ADrTJ2NLfJk+enM5EdqJRvowhawl8LwshEwAvDiDs/J2xhCecOQ36FQezXPWDQCHlOtE1r14UIPJlUEQq0niMOaODaBCOiEGajqHw2+IfqW5H5/HsRS7IBvnmg9Cf//znp2hI1OcZ6Tuk5lzq5kiZcWegmpIyB8F3CMJ5tAwo4yRSY8x8r27GktycA0QqmhGlIgQGkSyeRTjSxUgQKTtfloEjN0LxnFSl6E7EyRgqX4pVG2CiPISJIN0rA5BJGcEpX1tFTpmUGWBkJD3L8MIEwTDaFjohHBEbgy4i00YEgbxFugy6exhk+CMvZLknUkZCiBLBIQ/ZAIuYpIFFhTnSQnpIAAEhJcTjfnWIDrUd4Yja6JTenS4EY84BkkPQ6oIxZyWTvggPbnTHiZARcL/fpgFgrGx6oVv30aH2IzXtVZYy9SOEzuGCHd23FC1XDmP16HdWenPctIu+tVlb9Ce6gbe68qI37dYn82lF6m+OlMlsPCD5fAa2+o0jRC3ToRxjrJKUYabvwFX/ggtZjTtOjKyGf9MRTPQLY5ZTUa76QaCQcp3oWnqYoRD9+bcUm8gJyTC8Ilb/ZsgYSytXc3QLIp8jElE2wrGRPHJj1Bg8UaeokhGRjjMfalX33pAyI8mAIn4pdQaZAURSIm9RFvIUpSFBxpWhPfvssxMhie7IhaTII03IeIq+kDIji+iQG6L2LMMqha3t0uHKVZ7I0DPwUq/vzcW2hpRFu4gJUYnKZCisyEV80pci0py+zsfTicIRmOwA2cnCMHMi6OORSBnpkhvZSZF7xpypNHI+A7eym8MPDkhZHdLkCNVnpi+QqakNJO5eJIwoyI6E/E0/CJ0T5T6LonxuwZ+2+14bYa9cZCtLoB1wJx9nw1QCfLTZvTIZMIG5lC8S83xrU7j6i6jbanW6Q3L6CScF+dJtJSkjPgu/9FX9gkx5XnxPpEw+5Ktv+62ve8YPZxZGdAbX5kiZA6ZPn3zyySn9D0dywMG0hZQ2Z48TJ3qn21o/1axOzGy7NLOQcrvAWP2FMIQMgYjHbylgxoXhzKuvEY75TREk48oY5KMSdRSEK2oUbSA1kR5jJ0VoLtA8GaOmDlFnJmXkgODNsYl2kblIGQFXpq/NWTJm0pVXX311msMT2SNOUQdD7RxWkR5D7VxVBCDlzDDm04OQhEu6HOlICyJYpMiQSusicThoK4LQdu3QZu8FN0fKIuXK9LX0POPJmaiMlEU9CEo5jKxIB0FI+XNsREx+ix5lH/KxknnuFwGaXkCO0q4tkTLc6YcTgJiRmdQnQuMUNF0wlUlZxJZJWVYDppwxbcnvLCMdnyM7UaPIW9vMyVsnIIpVjj6krFNOOSXp2hy3vkUOf9Mph0OmIK++9pu87tMvmp4AJBUPPxF0S+9z07e+wjmAp7I4cIhWtsJ3dM0pqCRljpB+yOkUuZIpE+CeSFldMkWySrJN9AVjjgXHlwNmSsLaiuZIWV+QCZA98bx+nqcFrIMwlshhaoNM+lhr2l/9VqhI2BoECim3BqUucA8jwbgzGAwCY4lgeemImPFCTFKyCFwKDmmJvFwWfYmUGDiGTToRKTNI0sgWCJmfQ9zmSkU9SAkJSu8yiDapYMgYWStlyfNIpEw2pL8nUs6pUlGecrQhb37CKUC86pbubkrKjJwoek+kjNBE6toh+kHGsOEU+BHtICJGWEReScoIBhEhCGng/EpOnouURoclwvW8+XtEIdNg9bEUr8VErY2UOVB0aY0AI28+FfE6exj5Vy44osumpOz1JK8UIV8pf79FcS4OEOdAVO23tmZShilS9l0lKSMUC6iQrayJ+82v5nlmkanXsNyHvEWIInTkxClw0Z8+xlGSNdjTsY55aIrCZXyUzTlDyFLEeQW07AV9IDhto3dTE5wLGMEtr7DOdYli6ck9ZMuvROU6OSMcW+2HPSdUm0wHGCOVZz6b0sjp6z2Rsj6kv9x///3JUSik3AUMbxuaUEi5DaDV4iMMMUOFYPI8oihFVCGCQ7DIw/uXeU7Z/QwMg4fUEWkm7xzxin4YQmUwdAyaNKHIlkFn1NQpWhQZ5FW2UsyeYzjzQq+mkfIjkTLCEmkytEgbmYjAzS0zlkhB9IKwzFe2hpRFZghEJsD8nmhZxIjAGUx1aQOsGFlRn0VXCKeSlBlquGofUnG/qF1UzAEybUB+xJQX1cFVBC8yVU+OYluTvtZOpIIAOSWiPlMMHCoE23THr6akTFccBW2QTUAMIjYLkkTQMgRSsbBB/n5bUd4cKSM82RLOF937TcccKM/AjPPmbw5Jvg8RqZdzglT1J5/BmwMp5Q8/+oVT5TvVHEMOEyz1K2XDM6/OFzW7HylyrpAop0tUL2NjOscqcPJwZJTBgTAWOEjktRJa1EqfiN7rc2SEOX1baPitb30r4WP86IuV8+D7SspsDpmUySFsyUmpRRtVZG5EoJBynfQExJojYWlShkqaUzQp7WaRi4iFgWdURbm+z/chYek4BtmcLxJgeJSLgBCASIrhtODJfYyiFCdyNt9mXlDdjBiDLxpg7KSf83w3Qkci5iRFJ1J5jKZ5X+SuTq8iIRBRmrSk6MfOSlLqDLr0tZW+jLMyRJ/kIDPDzfgjWhkBRlf6mrFmYDOZiqwYYFG/FKqFcqIgJGKlLKOYV1SbCsjvuOpO6jdXmuWCIdlgzeAjZVEkIw9nzgx5GXu/YSNCR9w5RS+7wQlBdJypytXXojQOAD1KvWov+ZSfo/rKbo6I8pwyncGWHkW76iGjtnEMyDJlypTUd0T2on1tRbCZfJCc1Dl5OUF5VbWykDA8kCLd61P6EmePrulLvRwruOR3wL1ilN8xRsz04v4cYVfuBIYc6ZIjkvUCy0xc+iO81S/7oz793A+s9EtztyJlz3ActSG/06+/kotOYMBZNd8LQzrNC+hgz5nhTFbuIgZ7pCybRCccAO3Nr5SpVz+HH2eCMyLDRA46N06k2U0f6HsyPE3fga4TM1YXzSykXBdqjhQdMF5SvYw648MYG9wWMHklCFmJtMzdIjmfSx8zNgyjqE3Eh2AZCelnBhzxWTgmOmWEzbfl93atSJVWZMyl7RhVRCoiRMgiMJ0QOfke0SIBsiJMRJNXFOctPT3LWJGHUSQLgyeSR6YMvQiXASWXMhhBhg/JiuZEHCJ0eHACpL9F2+b2pOpFZuap1YO0kYSIkTEmBzzIy6GQImcwK+cQ3Y+YlQUDBh0RISQ4IVvzvaJ4kS284SbVzIAjSQYeyZFRiluamdEWuYnmkQqHAYEqg8zKRwhwFe1LCzdduczhEY37HEmIPvUPssCQ0yMShK10skV2cORcwBqp+R5m+hDy5ngpk/wcJ9EcB4aTxqFRlygUDiJ17z+bxsj9TR8QyXoG7r7XXqunkZ6+ICUsxZ9fA8tDl7MmAyFazusJ8nfqtRrdgjT6Ur72yQzQI3y0QT1k5hh4jc1iMRF45QVvWQUErhyLxugYdohWf7RATjlNt2fljMDdmJHW5iSaStLf8poCuqA3488UBNz0YRkbCyplq+iaA5lXiNeJ+aqrZhZSriN1M555ZyrNNsAZD5+JFhC0aIJhY5x8LkrI7wn7Pi+C8TkCUKa0r0gw70zlMx49w4FgGD+E41kRh2dFhHkHrxwd+l50LYr1nPIZs1yWcpGuFCHZGUny+1xUw4jmE4jUjURyWZ7znfJ9p00citx2sqhfWT7P0WauB17Kd3++R2RmvhFxP/OZz0wyVV45I0BeZcOPDNpLdn8z6MpVJ9zpwW/t9z0HyHd55ydywlkEq+15xzNl5Pbnujzb3N7deUezHFXmncjy3t/aqA7fw0qdeaFRblOOHmGcI0UyIXL60o+yXsiurLyQy99Z1+6Dgf5RWa/6tB8eiA8R6w+iU2Rd2S6YZoyaknJuA71n/Wa8yace7ct9giz0o8/6vvJC8PSmLPohr3td2q2c5la75+yJNnK2tNmYyX1TXfBULp1pTy4bZnScx5F253f368h01VVTCynXlbpLY9sLASlgKWQpcZG9+VXRb3NbbbZXnfVYDrIVkZrbliWQGWjt9pv1iFdpc+0jUEi59nVYWrAfELA6WkpcqlO6EilLg5b3SdtXGaJ66XqpdVMSXhUrV0GgKyNQSLkra7e0rcMQyOl7aUZEbF45b5PYYZXWYcE5lS+tLN3bnkdp1iGcpck1gEAh5RpQUhGxIFAQKAgUBOoDgULK9aHn0sqCQEGgIFAQqAEECinXgJKKiAWBgkBBoCBQHwgUUq4PPZdWFgQKAgWBgkANIFBIuQaUVEQsCBQECgIFgfpAoJByfei5tLIgUBAoCBQEagCBQso1oKQiYkGgIFAQKAjUBwJdkpRtEWifY9vaNd12rz7UWputtEWh/YnzIfO12YoidUGgIFAQaDsCXZKU7cFrFyB7xDbdjL/tUJUnOxIBm3HYb9pJTfYFLkfTdSTapeyCQEGgWhHokqTs8IE77rgjnWiUN9KvVgUUuRoRcACGE3NEynbHKqRcekZBoCBQjwh0aVJ23JzTW8pV/Qg4ucdxjY72K6Rc/foqEhYECgIdg0CXJmXn25ZTezqm47R3qVLXzqgtpNzeyJbyCgIFgVpCoJByLWmrC8taSLkLK7c0rSBQEGg1AoWUWw1VubEjESik3JHolrILAgWBWkGgkHKtaKqLy1lIuYsruDSvIFAQaBUChZRbBVO5qaMRKKTc0QiX8gsCBYFaQKCQci1oqQ5kLKRcB0ouTSwIFARaRKCQcosQlRs6A4FMyvk95c6os9RRECgIFASqDYFCytWmkTqVBynfddddaYtN7yn7beOXsolInXaI0uyCQJ0iUEi5ThVfbc22zeaDDz4YtkjdtWtX2h7VXtiDBg2KAQMGpE1gunXrVki62hRX5CkIFATaFYFCyu0KZymsrQg4OGT79u2BnDdv3hwbN25Mvx0u4rIJjOgZQfvp2bNnW6sqzxUECgIFgapFoJBy1aqmfgUTKe/YsePfSNo2nE798l2PHj2iX79+MXDgwETUouhy8Ej99pfS8oJAV0KgkHI7aBOBiOhEe+ZBRXG1NBcqQtUGslcbucF0586diaD9iJ4dXpGjaCltaW7kjKSRtTbUEv7t0AVLEQWBgkAXQaCQ8j4q8uabb45zzz03rrrqqhTJHXzwwfHKV74y7Lu9NydUIZ7rrrsuBg8eHBMnTtyrZ/exCfHrX/86dISXvexlMX369DR3W40XghYpZ5LmCCFoP/7tc1F0TnHnKLpa21ONGBeZCgIFgf2LQCHlfcDfmc3vfe970znAxx13XCKDhQsXxrHHHhtPetKTEkH4DpkMHTo0Ea2/RaUWMPl87dq1KbpbuXJlvOMd74hDDjkkXvziF8fkyZMTAa1bty5FiO4XEWaC8azvROW+R0oIXSrXc8r1mTo9K3K0iMr36kNk5m9FlxyKG264Ic4888x0lrHnfe43edXrp9qiTxjA0k+ei84k7TP4az+9wMC8dImi96HDl0cLAgWBDkegkHIbIUYIH/vYx1KU/O53vztOPPHEZPQz8fn+m9/8Zlx55ZWJNBCeSPSXv/xlIPO3ve1tiUw/9alPpe+Q4re+9a1Euqeffnq8613viksvvTT++Mc/JvJ1DOVrX/vaRNqIxbOf//zn04plP0uXLo0nPOEJ8aIXvSiuv/76+PGPfxz3339/ItnXvOY1MWXKlPjkJz8ZRx11VDz1qU9N0bEo/1WvelXcdNNN8Yc//CHe+MY3poh52bJl8YpXvCIRO5k4GKecckoi5mq9chSd56Iro2iELYrOBC2CzlF0tTka1YpvkasgUBDoHAQKKbcRZ3Oaz33ucxOJfuELX4jLLrssERrjj/QOP/zwOP/88xNZ3n777XH33XfHd7/73fTZNddcE1/96ldTuhsp+hk9enR84AMfiDFjxsQLXvCCRIIXXnhh3HvvvSn6/sc//pHI/1nPelaKYhHN61//+rjiiiviiU98Ytx3332xePHi+NznPherVq1K0e+KFSviL3/5SzzqUY+KF77whfHOd74zHvOYxyRy5zCQ+eMf/3hcffXV8dOf/jT++7//O37+85+n+j784Q+nct7znvekdLx6RZy1cuUoOq/ohnWOoumIYyNrAEvtKlF0rWi2yFkQ6NoIFFJuo36R8jOe8YwUcSFlRPv73/8+RZxveMMb4slPfnIiPuSImP2cd955cdFFF6W546985Ssp2hWRIskzzjgjXvrSl8asWbPiP/7jP1K6G3G737PIGWm633dI2XOrV69OxIn4Rd2f/exnU8r5Zz/7WXIEkPVJJ50Ub37zmxPpP/axj02R87e//e34+9//nqJ9Mv7kJz9J/0bKyP2DH/xgivo5AuqsNVKuVGvTKDoTNB36t+8RdNNXrkoU3cbBUR4rCBQE2oxAIeU2Qme+FXlefPHFKS08b968RJwITwR96KGHJpJDZtLAP/zhD+P73/9+iqZFqN/4xjdSJCtlrJzHP/7xKUK2QOztb397IlukO3v27DjwwAPj61//eiJ7UWsmZXW53v/+96dU9Pve97740Ic+lFLeDzzwQIqKOQLDhg2LN73pTYloEbQIW+qbc0D2TMqiZul1O2t95CMfiUWLFqWI2f21TMpNVZxfucqr5vOKbgSdo2iRs3lo8+/+bX66XAWBgkBBoKMRKKS8DwiLNC30cs2dOzctrJKefstb3hLjx4+P//qv/4rjjz8+bYQhjSxFbEEX8jv66KPT55dcckn8z//8Tzz96U9P5Gce+JnPfGYi+be+9a0pnW3bSalsZI2UkaxI+eUvf3mK8hCoOWlR7Uc/+tH47W9/m0gawV9++eVp0RhyFXkjXERPdnPEyF762hw0uTwnwp8xY0aay5YB8Oyzn/3smkpft1atOYpumuZG1DB2IWXkLM0tmq61V95ai0W5ryBQENj/CBRS3gcdMNz//Oc/4ze/+U2KKhn4UaNGpdXT5ogtkkKCIt0lS5Ykkh07dmwivXvuuScRn+haGty875///OcUqU6YMCGV8ac//SnNGStTVG2uWvSLHJDIl770pVSnCFs5InGpZmnnX/ziF6ll5rzHjRsXL3nJS1I6W5oayVip7VnELrK2YA0pk8/c94IFC9J9d955Z5Jbvf7u6pdIOb9yhZSbvnJlLjqnuXMUXW3vdnd1HZX2FQS6MgKFlPdRuwy4VLF0swvZiW5FU4jYYikkysA7AYlB97n7rYxG7NLRnhM5m89l5EXadrEyn4wM1SNCdq/vEap7XUhb6tW9SBURcxLyimOycBL87XNzpQjF37feemsid2Ui5WnTpqX2mJc+55xzUtQtjf785z8/1V1PV+XGJfmVK/rywymCc+VctMxDiaLrqYeUthYE2h+BQsrtj2lNlSg6tzhNOt0isCFDhjwsP0IWrZ988slpIZo51nq99vTKVU5zc3AQMmcnR9L5EI16xay0uyBQENh7BAop7z1mXeoJkbx0t6jd60GVu1/53PfIGFmXxU7/Un1zr1zlKNoCsqZRtGxHiaK71NApjSkIdAgChZQ7BNZS6N4igOSk4KWJEZp0ut8+95tD8EjbZe7P15cqo2jyW/CXCTpv/5l3UquMovenzHurn3J/QaAg0DkIFFLuHJxLLS0ggJBtWoLM9kS+lSQm6qy8L5N2vgepV26p2fRv91Wez9z0b+JWPu/7/NOSMiv350bS+b1ov3MULXLOq7nzK1eFpFtCtnxfEOj6CNQ1KecFO6KXPa2gFen4MVdY0rcdNyAsarM6PEeSiE0EiqgyyeXac2Tqtyv/7b585ecr/678DCFXknpLJJ0JufKZSqIng7/1kUyuOcInw/bt9uhuPOkKOfvRr9xTeVZ03359o3v3brG7YXdq1+7du1L7d+3eFTt374xdu3emz3fu8vtf7VVHv14Don/vgVW3R3nH9ZpSckGg6yFQ16Ts3VyvNNl+0urk5i6LoLwj/LrXve7hfadrpRuIyrx3bJW2OeGZM2c+vFjL+9L2vPYu8mGHHRaTJk1KK4ld3pW2E9hBBx2UVowjGhHfLbfcksqyytjOYyNGjGg3ArDae/78+WnluvntyquRnBoJOJNw5Wf535WknIm6KSnviaTzHHEl0Vu8VVmvvyuJvfK7LJffDf5raGh0Fnbvit3+y/Lvjti1c1fjISLbtqV/d+vWEN0fOjyjZ68esaP75tjUbW1s2+386EYZMkHnsnbFLt7Iv2BqaIiDRx0eh46ZGT26lY1OamWMFjkLAk0RqGtStikGwkXOjktsLn3oneLvfOc7aVtMG4Tsr2iZ82DDDxuLeO+5pYsR/93vfpcOnvBONIJ+znOek3YbE6F5h9phGcgQIdtZzKYiNjmx6tqrUj6z05gI0HvPykPmCMV7y9599g50e1yZlL3SZbOUjk7lNiXt5v5u6gw0F31XEnOKaHftipUblsUDq+6PjVs3JFL9F7Fmr6IBc/tfd6xzAAAAIABJREFUNOzunkgcvfrdLbrF9oYtsalhTewIZ3S3Dl3PTh83N2ZPPDZ6du/VuofKXQWBgkDVIVB3pOz9YLtoIVcEZHMOO23ZsOPGG29MPwjhhBNOSJ/ZIxop2xbTKUM26bDblvtE184f9pkozzP+nRcseSdYRGn+08lNiB/xiTStbEayy5cvT2cwI3z1IkqRonIQqdOnkKD9tZGi7S4Rq++cDuX0KHJ5TlTrFCkRL7Kwb7YUvRXUttVEdn6ThbPhVCnvOGsj8nXClMhap1DXf/7nf6a6yGqbTu9JI2PliqTtRHbMMcekKJrToJ1IG8Fqp+1F3edwjizXnkZAZ5NyR4xEmK9dtyaWrF4U962+LVZsfLAxQn6IWEW5jRc6/tf/I9R8oeXdIQ7ekSLs1l6FlFuLVLmvIFDdCNQVKYsQnaJkBy4RmQgSodkfGhkhJxt42MVJ6tZe0va2tlOWFLdoEWEiKH87N9n+06JRO3EhPGR2wQUXpM1AbBLidSJkiKCRpTKli0Wq1157bSJc0ZWduBCZ75GZC2HbfhNhf/rTn057ZtsFzNaenACk7jAKddli08lStsPMm3wgUw6AdLRjI/37M5/5TNqHGzF/4hOfiKlTp6aDMLwOZVtQ7fPuMpxe/epXp+iak+E7hOt9ZfW6H2l7XgrcYRmia8Ts6EdtNj+s3fYBt7+39PmeIuCuQMp0Nv++u+POe++I3f22xsaGVbF+85poaOjW4VagkHKHQ1wqKAh0CgJ1RcqiT1tVIjlkZy9oUSSScoIS0rF7lc8Qln2kRdYiZVEowkbGImWRpU01kJWdrxC336JuJzQ5L1mUKDWO9KR5neBk/2rpZ4dIWOAj+kTO+fSmd7zjHWlVrqMW7aONrBwkYW5bWcp1VOMPfvCDRP7KRML2xBb5+l05J2se1LaZX/ziF1MkTBblIXzt4yD4jCPib1Etp8W/HSmJlJG5bTgROgLmREhtK8+8MvL3t9XT5P7rX/+a9uKW3vadDUg4DeRD2s1dXYWU77z79rjgz7+LYSOGxMjJg2PFpiWxY9f2lJruyKuQckeiW8ouCHQeAnVFyg5ecKSik5GkgZ3iJIWNsESFUsXIGUGcfvrpiWisjhVBIxdp5u9973uJ9Hx/6qmnBhK1n/TZZ5+diBkpIyXpYdGoOkS5yI8jgLSQsUhUOltZiI6jwGFA+g6xcNSiMhCa1Ln0NCdChO1exzQ6KlI5iB2BnnnmmWkv60zKCNmcuQhe+lh7/LaXteiZ4yH9jlxFsNo+ZcqUNKcs8pUFEHlnJ0UqXDpeyh8xczA4KJwVZcsEwINT4vznHPU7MMP3MM+LyZp28a5CynfNvzPO+tG3YsvWzXHqGSdHDNwWKzcs7fARXUnK3bv1iE1b18fmbRsbV2g3NET3Bu99d38obd4Q7mno1i25Cv7do3vPxs862HnocCBKBQWBGkegrkjZamMRLuJ63vOel6JV0R2icywickOi0tpWWyNTZCwqdeLS3/72t0SaiF0EaaWwyNUiMMcfIiMEjZAQqhOWzLsiTmSIdPMe0gjRoq3jjjsupXuleqV3pcalodWvDNEwUuZQKId8p512WoruzzrrrBSBSoEjUYdYSINnUpZ6R94ibxG09Lg2qlvKXhrcIq93vetdaT7cKVXS0tLx6lIeUoaHdiJ9c8zOXBbFI3FRu/Q20vWs+/KqduXLNIjMtcu+2iJo8+Ai8sqouauQ8n0L743v//i7cd1N18QpJ50WU488JFZtXxJbtm3u0MVrlaS8fee2uPbev8aNC66IHTu3p3oRrh+Xe5Fwek87fNczevXoHT2794we3XulhWL+3bNH7+jVvXf6rG+vftGv98Do27N/9O3VP32P5P0kwm/o3qHtq3E7W8QvCLQagboiZQSLVJGmeU4HL4gmzRUjIpGudKx3Zi3iQqiXXnppIj8rtaVwRZjSuCLQH/3oRynaFekiH2TlM3O/omukjEQt0kLKT3nKU5IzYF5W9OokJvPBFp0haBGwiB0pcxIcq4iUlWWeGeEhMilz5OrsZNGr+XEpcETO4fCdSFbUKrL3tyhflCpKtvhI/fBwcQiULepVl/S1+WEL3ZxgRR6fO/HKq1Xa6jhIkTKiR6jkRf4+gwEnAmmLsv1WL5mUo42yBtLi+eoKpIwMH1i2MK68/vK46aYbY/OGrTH36DkxZFzfWL5+SXo9qqOuSlLesn1TXHjjz+KSm38VW7Zvjm5pTjvHwA+t/G5Ia7+TOImaG7olUkWu3TPZiqC72UmteyLqXj36JDLu3bNv9O3ZL/r0aiToPoi6J9JufE8aeTf+HhD9eg1MhF+ugkBBoHUI1BUpIyNkg2gt8LLyGAEjy3zmsfdwfWdVMcK57bbbUnRnztd3VhkjVZdVyEgdKSJmc6bKd5+o0kIvDoDI1rzvr371q7QwymItRyJKSatfZCt1bnGUuWNkKDKX/ragS90IVSobkSNJpIj8lYMkRcWiYWRncZm2Ksv3+VxgRlemwAlU2mQFuShXSvqoo45KJMnZyK9QKYPzIpqXUUD82ol8RbvagdAtoIMF3JQDAyvDpeGVL8PgcxG9MpA/HCpfL6sFUjY3vG3H1ti6fXNs3bElLeJau2lVrN+yOtZvWh3rt6yNdZvXxLqNa2Jgt5Gx/O4N0bfngJgxd2ps6bk21m5e3WHp4UpS3rpjc/zxhp/GRTf+IhB0Wmi2x4XcD23Asgd7UblO/OHXuLy4JUJ+iLS7d+8R3RsaU+C9e/RJRI2YkfKA3oOif5/B0a9X/xjQZ3AM6js0BvcbHgP6DEok37tnn+jRrfl1Bq0zYeWugkDXQqCuSJnqRGuIUOoOiSAsu3X5O5/449/Ixm+Ek+9BUhZE5cMFELlLOQgHqbkXUfu330jJv5XlfpFufmVJWV5t8nw+q9hnyMo96va9570rnOVzb5bdPVLRFnxxCqxyllZ3KYtcle/SaisZyKY8eOTP3Jd3OcvPuDfL5jvykC/LpJ78HNInd8bAc76DQZ5L9h3Zmy74qjZSTm3atjHWbFoRK9YviTWbViYCXrd5dazesCw2bF0f23ZsTmlpJIioRcqiYT9jh0yIMQ1TY+nda2LCxIkxfuqYWLVlSWzdsbVDiPnfSXlLXPgQKW/evumhSLl9DVd6XSvxecWLW17/aohUn4g7/X5ovlqkjbBTlN2rfwzsMzgG9xsWQweMiiH9RsTAvkNicN+hMbT/qETYOdXevlKX0goC1Y9A3ZFy9atk7yWUVrb4yqpuEam53Vq79icpI9T1Wxqj3tUbl8fqjSvS77WbG19pWrtxxUMkvCV27NyWiHXnrh0PQ/zv66ob/+rZo2dMHT03di0dGBtXbY1Zc2ZEr+G7Y0UHLfrqbFJ+5P71EFE/RNqV9z68SUq37tHroZQ4ohZJ9+8zKEXSjT/DYmj/ETFi0AHptzS4e/JitVrr30XegkBrESik3Fqkqvg+0a4ItOney1Us8v8TrbNI2e5a23ZuTcS7dM3CNNcr8l2+/oH02cat61PKd8u2Tf+KfG11aVvLxg00W7WgyarnYQNGxZQhR8WS29fF4IFD4/C5h8b6XSti45b1rSpjb/RXXaTcsuQ50s5xdiOu3aK7E8EeWnhmzlrKe0i/4YmYRw46MEYOHBsjBo1N2Fp0JnVeVoy3jHe5o3YQKKRcO7rq0pJ2FClv27EtNmxZEys3PBgr1y+NFesfTAS8asPylJoWCUtDi36tVM7Xw4Y+rYtqyzvGjYdpHDxqRgzZMikevHdVHDZtSoyYNDiWbVicIu22ldt8N5Aqnj5uXsyacExKp3d0+rojOuO/UuJKb6TrxtXhjQvNevfsl1LbjfPSw2L4wDExetC4GDnogBg5aGz63Dx1uQoCtYxAIeVa1l4Xkr29SBnZbdq2IVZtWBYPrlkYD6y+L5aveyARsflg88R+EHDa2/qhFVDpFKg2ke+elSC6Nn86Y/RxsXFBt9i+eXfMmHt47Oq/Oc1Rt2d95mBnjJsXM8cfFVtqlJT3hGTj+oZM0l67bpyztkjMKm+p7hEDx8SIgWNjzJDxMXrwuBg+YHQM7Ds0evbo1a44d6EhV5pSpQgUUq5SxdSbWPtCytt2bElpaOnoZeseiAdW3x/L1y2ONRtXpLlikeP2HdtTCrqRCFuXgm4PHUhjHzB0UkzoMysW3rYyxowaHYfOnhRrdiyLzVutjG5LFP7vkiEtkeSM8fMSMXc1Um5OD5Xp7/zetVevEkn3GxbD+o+KMUMmxOjBB8aYwRMSWUuFl6sgUO0IFFKuAg1ZQe0daK9f2SXMntpWROfLa0peK8qrxq1+Pvroo9OrWXmPbYr03rVXlSz2svLZPtzeK/b+s9eYqvnaG1LesWtHbNyyLlZvXBYLV86Pxavnp6jYKukNW9bGpq0bYvuOreHQRFdr54E7Ah/k4d3eKaOOjG4rh8TKxeti1pyZMejAPil6b3r8Y1tkqEdSbopT06yH96v7pHenB8aw/iPjgKEHxfgRh8SBQw+KUYMPSGdPl1R3W3pbeaajESik3NEIt6J8B0B8/OMfT+/32nwjbwCSH7WdppOtkLL9ue0e9oIXvODh15/suW1Tk/yak805vM9su0zvJXvPuHKjjlaI1Om3tETKIk7p5yVrFsSCFXfF4lXzY9m6xbFi/dIUDXt/OK+I3p8k3GxUt3tXDO4/LKYNPz6W3rExRbWzj54em3usiXWbHFixb9FyIeXmu6s+wy0z346ARcoI2kKxMYPHx/jhByeS9nd5BavTh3ypcA8IFFLez13DwRB5O8rrrrsubZOJVCsPlVixYkXaGQvpeifZFptOh3ra056WImCHR4iMbWLiBCfHK1LsEUcckd5dtkvZvhr+joYpk/IBYw9Im6jIMnvfVwp66dpFsWDlXbFwxd3x4NqFaS9pkTIiFok+vFfVPpJbx7WxccnSwaOmxYidh8SCO5bGwYccnN5dXr5pUWzbvm2f9FNIuSXN7U7nUue+0qN7jxQp28TE/PP44YfEhBGHxrhhB8XgfiPKDmQtwVm+71AECil3KLyPXDiSdZCFHcbsKvblL385nvSkJyVitjVm0ws5O6hCxCyytpe0TUkQNTJOexw/tMmIDUQQsu098+Yl+7GpLVb9MCkfcED0G9Q7Fq68J/3ct+z2WLL2/rRaGhFv37UtpXyrLRpuqYEIoU/PvjFt9DGxdXGv2LR2W8yeNzO6D9mxzwdWNE/KP4uLbvx5dNTmIS21t5q/b5yPbpzaECEj6KEDRqa5Z9HzpFFTUwRthXeJoKtZk11TtkLK+1GvNv1wCIRjIR0IYa9r88F25XKqVOU2lMR0ZrOoWiTtfOR8brJoW+obWTuhym97cnseaTs0wvnQCLtarw3rN8Rdd98Z62JpLN50V9y7/Lb0+tKGzWvTe8WuWiPipliL/EVmBw+YEwtuXh7Dhg6PGUdNjbW7lsfGzW1/d7kpKXNc/nTjL+KP1/8krURv3Pu6XM0hkFd2NxJ0z7RQbPjAxkVik0YcFgeNmhZjh05MO5CVqyDQGQgUUu4MlPdQh32xHRph60rpZ6dYSd1KR1vwJZK2O5ctKhHtW97ylrQYzJaayLuStN1rb2zz0/aVtre19LWdvpCyoyarebHXhg0b49bbb4q/3n9e3LPmhti8fUNNRsSP1J1EaBYgHTpqVvRcPSKWLVwbM2fPiOETB6R3l21skg+J2Jtu2ZSUd+7eERfdeG5ccP2P0mYohZRbh2ZeLNa4mrtHDOwzJEYNHhcTR0yJg0dPS2lur12VAzZah2e5q20IFFJuG27t8pQjG/MhD/4tfe0gCkRtly6nLTkq0YpqEbCTnJrub50FcbjEd77znbSoS1TsuEfnFzv9ymEXjpu0Urtar40bNsZNt90QF9z+vViw8fZ2fmO4elrN8A/sOzimjzwuVt2zPXZu3x1HHjMrdvbdlFL0bZn7L6Tc/vrNKW7vRFvFPaT/8Bg7ZGIcOmZmTD3gyBQ9+7xcBYH2RqCQcnsj2sbynCyFjE866aR0VrPXmRxz6MhIr0ghbCdB5bOPHeqQLwdPWIHt1SqLv7xO5YxoB0g4BAM5I/vKZ9ooZoc91kjKN8Yf7jg7Fmy4LW0W0VUvBn/SyMNibMPUuPeWB2PSxElxyKyJsXzzojadu1xIuWN7Sl7FbX7ZoRnjhk+Og0fPiINHT4/xww5O70WXbETH6qCeSi+kXCXaRqxSztLX5oo/+clPpnSz16OsqnaMI4J1nKSjGSsjKvteS2tbZe0caPPIjl90dKTTrqZMmVL1h1TUGylLgR4+el7sXDog1i3fFLPnzIy+o7rH8g17/+5yIeXOGsRWce9Oh2L07z0o7SJm1fbUA+YkgvZ3IefO0kXXraeQchXqFvlaTS0N7afpMYdVKPI+i1RPpAwsi74Y8cOGHB2Lb10T/fv2jyOPnRXrG1bG2o2r9iqNXUh5n7vfXhVQuXrb+89Osjpo5NSU1p4ydlaad7Zfd7kKAm1BoJByW1Dr4GfMJ1u4ZSFXW+YYO1i8Dim+3kiZYbd/85TRs6P/xrGx6K5lMW3GtBh7yPBYumFR7Ni1vdV7NhdS7pAu2apCHz53vEfvGD5gVIqYDz9wTkweNS0dluEUq3IVBPYGgULKe4NWubfDEKg3UgYkg96/z8CYNurYWHfvrti8bmvMOfaI6DZkRzpQo7VXIeXWItVx92VyNi3hWEkrtacdODcOHjM9vfNc3nfuOOy7WsmFlLuaRmu0PfVIyjmNbV5yQq8Zcc8ND6T1A9PnHRYrtz0Qm7ZsbFWmpJBy9XT6/FqV/c6H9B8ZE4YfEkdOelRMH3dUIutyFQRaQqCQcksIle87BYF6JWVp7LToa8y8iOWDYuUD62L2nFnpwIql6xa26t3lQsqd0kX3spLdsWv37vS+86iBB6aoedbE42LSyKlpp7ByFQT2hEAh5dI3qgKBeiXlnMYeOmBETB9xfCy7c2N0a+gRc46dHZu7r45VG1e0OLdcSLkqunCzQuQjJvv26pd2CbMY7MiDToxJI6aUU6qqV237VbJCyvsV/lJ5RqCeSTljMGXMrBiyfVLcd+uSOPTQQ2LS9ANj2cZFsXX7lkdMYzdPyr+IC67/cdnRq0qGWJpzbojo32tg2lt7zkEnxoxxR8eoQQeEDUrKVRDICBRSLn2hKhCod1IWUfXt1T9mjDkuNt7fLdat2hBzjjkyeg2PdE70I11NSXnX7p1x0U3nxu+vO6eQclX07n8JQVdelxo2cHQcOnpmzJpwbEwff1Ta0rNcBQEIFFIu/aAqEKh3UqYE7y47PvCgfkfGvTcuicGDh8YRx05PB1Zs2Lxuj9FyU1KOhoa4+OZfxm/++f3YsGVt2dCiKnp4pRCNm5D07NE7nes856BHp8Vg9tiul1cgq04lVSRQIeUqUkY9i1JIufG8X6t2p46ZGz3XjIgH7l0eM2dNj1GTh8aD6xfGjp3Nv7vclJTt6HbxzefFr685K9ZvWZPehy5X9SGQz3ce2HdIHDb2iDh+ymPTe86D+g6tPmGLRJ2GQCHlToO6VPRICBRSbkQHwQ7uPywdWLHy7q2xbcuOOOr4ubGr36Z0lGVzp0gVUq7tsWVvbTuD2VN7zqQT4+hDTovhA0aXd5trW61tlr7Lk7JjD8tV/Qhs3LApbr79hvjDHd/v8gdStKQNJHvImOkxOg6Lu29cGBMnToqpRx4cyzYvjM1bN/2/FGch5ZYQrf7vc9Q8tP/ImD5uXsw96KSYPv7olDkpV30h0CVJefXq1XHLLbfEqFGjonv3krprTZc2l9W9oftDBr+h089o2r59eyxZtiguvu/Hcf/6W7v0KVEt6QPJ9u3dLy362rK4Vyx/YFXMPWZODDygdyxdtyh279r1b0UUUm4J0dr5Ps81Tx51eJx0+JPjyEknpAWA5aofBLokKTuycOFCGy/sKgsnWtGXHepur+X5S2+L1RuXxc7d/270W1HEPt/SEBFbd2yJO9dcEyu3LN7n8mq9ACnNMUPGxyGD5sV9Ny6Lfn37x1EnzIkN3RxYsfLf0tgMuQ1IZo4/KqaNmxvd0kKvMqdcq30grdDu3iNtz3nClDPjyIMeFaMGHVirzSly7yUCXZKUkbHjDP0uV8sIbNuxJW5Y8I/4622/i+XrFqediDr9ajCfuiu27dwcO3Zv7/Tqq6/CxldnDhszJ/ptHBsL7lwSUw8/PMYfNjqWblwY27ZvfdjhZMT79OwTMyccE4cfcET6vJBy9Wl0byRqTGd3S4dc2GzkpKlPjHHDD96bIsq9NYpAlyTlGtXFfhF7/Za1cc38v8Rfb/9tLFxxd2zfua3ZxUSdIZxoufGVED/lsh57QJ/BMXP0CbH2vp2xfs2mmHfc3Og+ZHssX/evd5cTKffqGzPHH11IuUt1G69ORQzsOzhmTTguTp72lDhk9PSy2UiX0vH/b0wh5S6u4Edq3sr1D8Y/7vpTXHbnhfHgmgXplRyp7HJVDwKyBweNOjzG9ZwZd9+wIEaPGh2zjpkeq7YtifWb1yYnppBy9eirIyRpzIT0jWnj5sVjZj07Dh0zs6zM7gigq6TMQspVoojOFsMuUf9762/j8rsujJUblqbqCyF3thZaro+j1Ltn35gx9pjY8WD/eOD+pXH00UfF8EmDYvGae9O7y1bllUi5ZSxr+Y702lTPvmll9ukznpH20C7HQdayRvcseyHlrqnXR2wVEv7LLb+Oy+78Q6zeuKIOEaitJtvpa9TgA2LKkKNj0S0ro3v0jGNPPCq29FoXqzYsTSnOQsq1pdO2SJsctB59YuoBc+Kxs5+dNhwpxNwWJKv7mULK1a2fdpdu7aZVcemt56dFXas3Lm/38kuBHYOANPWUMbNj8NYJMf+WhTF58iFx2BGTY/nmRbFp64bo06tfmVPuGOirqlSp7N49+8ThB86Jkw9/ckpp23ikXF0HgULKXUeXLbZk49Z1cdmdf4yLbjw3VlgoVKaPW8SsWm4QJfXvPbDxwIoF3WL5g6vi6OOOigFjesSSNQtSirss9KoWbXW0HLZj7R2HjJkRZ8x8Vlp136Nb2WSko1HvrPILKXcW0vu5ni3bN8Xld14YF9/8q1iy5v50+EGZQ97PStnL6ulswohD4qC+R8bd1y+KQYMGx7wTjoh1u5fFlm1bYtZDr0TZ6/rSW86P8675bqzbvKrsfb2XONfC7fnd9KkHzoknHPnCOGzs7FoQu8jYCgQKKbcCpFq/ZdeunXH1/Evjd9f+MBatml9WWdeoQkXLNgmZPvbo6LZqaNx7x8I44ojZMe6w0bFq89KYOvaIOPzAxnnGv9z66/jVVd+JtZtWRrduZVe7GlX5I4rduOq+Xxwx8fh40pyXxIHDDuqKzay7NhVSrgOV37nkxjjv6u/GnUuuj527d5YIuYZ1zhAPGzAqpg4/Oh64dW1s37ozTnj0cdFraEOMHTI+ph4wu5ByDet3b0XXH/r3HhQnHPbYeNwRzw97Z5erthEopFzb+mtReicL/erqb8e18/8WW3dsKhtztIhYbdxgE4mRuw6Nu29aGOPHj4+5xx4ZB4w+MMYNnRw9uvcskXJtqLGdpOSojYnHzX5uPGrqE9I7zeWqXQQKKdeu7lqUfOPW9fHnm86Ni2/5VazbtLrsA94iYrVxg3dW+/UZEDPHnhDbHugdixcsieOPOz5OPP7kGDpgeJpDLunr2tBle0hpWoPOJ444NB5/5AvSCVPdGrq1R9GljP2AQCHl/QB6Z1S5c9eOuPLui+M3/zw7lq5dWCLkzgC9E+tAzOYQpww+Ou69cUmaa37mU54bh04+LDlfhZQ7URlVUBVitgJ72oFz4jnHvSEOHDa5CqQqIrQFgULKbUGtBp5ZtOqe+MllX4nbl1wXCLqstK4Bpe2FiI3HNTLCR0Xf9aNjwV1L4qQTTo3TT3psOq60kPJegNlFbtUnBvQZFKfNeHqcOft55cjHGtVrIeUaVdwjib11+5a44Pofx8W3/DI2bFlbCLkL6liTRMuD+w+PaSOOjd0r+sfkcVPi5BNPi149exVS7qI6b7lZDTFu2EHxrGNeG7MmHtfy7eWOqkOgkHLVqWTfBbp10TXx0398NRauuofl3vcCSwlVi4C05eSR02LmiBNj2oHzYvKkQ6Jnj7LQq2oV1sGC5feX500+OZ55zGvSSv1y1RYChZRrS18tSmtx17lXfjMuv/OPIWJuPAqxXF0Vgfyu6rxJJ8djZz0nxo2YXOaUu6qyW92u3enVKK9InTr9aWV/7FbjVh03FlKuDj20mxTX3ve3OPeKb6Zdu8pVHwjY6WvM4PFp5e1xh56R9kIuc8r1ofvmW7k7Ghq6x5Qxs+IlJ70jxg6ZUM9g1FzbCynXnMr2LLD54x9f/uX45z2XxtadW8tcchfS7SM1pfGVmG4xa8KxaWenyaOnxf/e+ps476rvxJqyo1ed9IJ/b6YMyqC+Q+NJc1/yULRcdnWrlY5QSLlWNNUKOW9acGX8+PIvxoNrFpRXoFqBV1e6RbQ8oPegOHXGU+P0Gc+MGxdckbbZdLRj2WazK2m6dW1pfEWqR8yccGy85NFvjyH9RrTuwXLXfkegkPJ+V0H7CLBj57b49T+/Hxff/Mt0lF+ZS24fXGupFMR80Mip8ZR5L42NWzfEr685K5atXVxIuZaU2I6yIubRg8el95bnTDqxHUsuRXUkAoWUOxLdTixbdPyDv3027njg+ti1e2eJlDsR+2qpKp+1O3fySTGg9+C4Zv6lsXLDsrK7U7UoqJPlQMp9evSN46c8Np57/JvSBjPlqn4ECilXv45aJeHf7/hD/PLKb8XqjctLlNwqxLrmTQzxgD6Do3ePPrFh89rYuqOswO+amm5tqxrScZ8vffQ746BRU1v7ULlvPyJQSHk/gt9eVW/bsTV+9PcvxBV3X9RohKO8BtVe2NZiOTYV8Xa6KYzSF2r9WSE8AAAgAElEQVRRg+0nc1rw1W9YPHnuS9JOX6U/tB+2HVVSIeWOQrYTy31g9X1x1l8+EfOX3hq7Y1dJXXci9qWqgkA1I5CnNI6fcmY89/g3RO8e5QSpatYX2QopV7uGWiGfd5N/ctmXY/m6B0rquhV4lVsKAvWCQD5BauoBR8QrTnlvDC87fFW96gspV72KWhJwd1x883lx/jVnxbrNq8uinpbgKt8XBOoOgd0xZsiEeOlJ74rDxs6uu9bXWoMLKdeaxprIu2Pn9vjV1d+OS285PzZv21Qi5RrXZxG/INDeCEhhD+w7JJ4y72Vx+oxntHfxpbx2RqCQcjsD2tnFbd62Mc7+66fj2nv/Gtt3bisLOTpbAaW+gkCVI9A4r9w3Hj31CfGCR72lyqUt4hVSrvE+sHbzqvj6RR+KO5fckI7yK1dBoCBQEKhEoHF3r55x1OST49Wnf6A47lXePQopV7mCWhJv6bpF8dUL3x8LV97d0q3l+4JAQaAOEUDK3bv1iCMnPipee8aH0vab5apeBAopV69uWiXZ4tX3pkh58ar5rbq/3FQQKAjUFwKJlBu6p32wX3PaB6Jvr/71BUCNtbaQco0prKm43lH+2kUfLKRc43os4hcEOgqB/FrU9HHz4tWnvj8t+ipX9SJQSLl6ddMqyQoptwqmclNBoG4RyKR8+AFHxitPfW8M7T+ybrGohYYXUq4FLT2CjCV9XeMKLOIXBDocgd3R0NAtpoydHa885b0xYuCYDq+xVNB2BAoptx27qnhyyZoF8bU/vT8WrbqnbK9ZFRopQhQEqguBPKc8ffzRKX09oM+g6hKwSPNvCBRSrvEOsXrjivjGRR+Mu5beXF6JqnFdFvELAh2BQH4lat7kk9JCL1FzuaoXgULK1aubVkm2dfvm+OHfPxdX3X1JbNu5tbyD2CrUyk0FgfpB4OHNQw5/QrzghLJ5SLVrvpBytWuoBfl27d4Z5199Vlx007mxeduG4gXXuD6L+AWB9kYAKTtj+wlzXhiPm/289i6+lNfOCBRSbmdA90dxl9xyfpx/zXdj3aZVhZT3hwJKnQWBKkbATn9D+o+M5x3/pjjmkNOqWNIiGgQKKXeBfnDjgivix5d9MR5cs7AcSNEF9FmaUBBoTwREymOHTohXnfq+mDxqWnsWXcrqAAQKKXcAqJ1ZJC944cr5cc7fPxt3L73locVeDZ0pQqmrIFAQqFIEELItNqePmxsvP/ndMaT/iCqVtIiVESikXON9YfuObbFi3YPxhxt+FFfdc0ls2b65RMs1rtMifkGgvRDgtPfrNTBOnf60eNysF0T/fgPaq+hSTgchUEi5g4DtrGK37dgady26Oe5bdXv8+eZzY/XG5YWUOwv8Uk9BoMoR8DrUyAFj43EzXhyHjpwd4w+cUOUSF/EKKdd4H+AJ//XmP8au3Tvi8nv+GPOX3Ro7d+8or0bVuF6L+AWBfUUgv588afjhcfSYx8eoIWPjiOlz97XY8nwHI1BIuYMB7oziL77+17Fu0+pYt31FXD3/0tiwZW2JljsD+FJHQaCKETCf3L/PwJh9wInRd8PomHX4kTF72pwqlriIBoFCyl2gH1x5+6Xx91sujEPGHx5X3ntRLFl9fxdoVWlCQaAgsC8INDQ0xAFDJ8XsEafETf+8LV70zFfEoQcdti9Flmc7AYFCyp0AckdXcev918Y5l3wl5k45IZZuvD9uXHhFbNm+qaSwOxr4Un5BoEoRSFFy7wExZ+IpEcsHxrU3XhMfeOvHYvTIsVUqcRErI1BIuQv0hcUr7ouv/vbDMXTgiJh58Ly4/O4/xKJV88PALFdBoCBQfwiIkscNmxxHjjw9fnP+72JA//7x0Xd9NgYPKmcpV3tvKKRc7RpqhXxrN66KL53//pj/4O3x5ONeFBt2rIor7vlzbNy6rkTLrcCv3FIQ6EoINM4lD4ojxz86NtwXcc65Z8UTT39avOfNH4levXp3paZ2ybYUUu4Cat22fUt88fz3x1V3/CUOGzc7Tj7y8XHF/D/FvctuC3tjR5TNRLqAmksTCgKtQGB3NES3mDDi0Dhi5Knxo3N+FLffc0u88vlviDe/4h1lAWgrENzftxRS3t8aaKf6v/67j8bfbrogdu7aGU867oXRq2+PuPyuC2PNphUlWm4njEsxBYFqR0CUPKjfkDhq4umx7r6d8bWzvxD9+g2IN77sbfGSZ72q2sUv8pXV112nD/zk0q/FH6/5eazbtCYmjT4sHn/sc+K2B6+OmxdeFTYYMcdUroJAQaDrIoCQe/XoFdMOnBeHDDgqvn/O2fHPm66MCQdMjLe/7n0phV2u6kegRMrVr6NWSXjB1T+LX/7tO7Fm46ro3tA9Tpr5+Jg8/rD4xz1/ikWr7imLvlqFYrmpIFC7CDQ0dEuLu+aMPTWu+tt18asLfhq7du+KyRMPjQ+89eNx/LwTa7dxdSR5IeUuouzLb70ovn/R52PluqVpDnlAn4Fx5lHPiW69dseV8/8cqzYs6yItLc0oCBQE/j8Cu2P4wDFx7KTHxoN3rY2zfvLNWLdhbXTv1j0OP3RGfPzdn4tph84swNUAAoWUa0BJrRHxpnuviq//7mOxbM2idKbyzp07Ytzwg+L0eU+PZZsWxPX3XxYbtq4t88utAbPcUxCoIQRsp9m3V/+YM+HRMSoOjW9//2tx6903R88ePdN4P2LG3PjiR75V3lGuEZ0WUq4RRbUk5t0P3Bpf+fUHY9GKexvnj3dHSllPmzg3jp9xWtyx7Lq4ZfHVsW3HlkLMLYFZvi8I1AgCaX/r7j1jypjZMW3o8XHeeefH3668JNmAdGxj9x7xqKNPiq989LvRu3efGmlVfYtZSLmL6H/JqgXxld98KO5afHPj/PFDpCyVfcL0M+KwSTPj2gX/G/cuvz127ioHVnQRtZdm1DECCLlbmkc+OI4ef0bcfM2d8YNffDd27Nz+MCn36d0nHn/aU+Kj7/xs9OjRo47Rqp2mF1KuHV09oqQr1y2Lb/z+Y3HjvVf+i3R3R+zatSt69ewbZ8x9WgwdOixuWPD3WLjqnkLMXUTvpRn1iUAm5NGDx8eRB54Uq+/fEuf88nuxZOni6N69ewKFcz6g38B4/tNeEm97zXuiW7du9QlWjbW6kHKNKWxP4m7cvC6+c+Gn4orbLontO7ZVpLAjdu7eGSMHj43HzH169B/QL66+99JYsOLORMxlY5Eu0gFKM+oGgUTI0RCjh4yPIxIhb46fnndOLHpwQVrYlS8rr4cOGhavfdGb42XPfW15LbJGekgh5RpRVEtiSllZfX3JDb+Jrds2p8VejSnsxicN0PEjD47HzHt6NPTcHVfPvzgWrry7EHNLwJbvCwJVhABCtnhr9OBxMWf8KbFh8Y744S++FwseuC96dP/39LQs2cjho+Kdr/9APPXMZ1VRK4ooj4RAIeUu0j8M1p/95Rv/1953QMd1nWd+AKY3DHojCkGAJNhEUiIpUlYvtmLZiiU7sjfy2o5iW7vZ+HhXXnvT1smJ9yQ5jvZsEp9NctI28UayNk5kq1BWISWREqvYQRFEIUAQvQ8wve7575s382YwAGcIYDDz8D+eOcCAb96797t33ne/v10cPPUTuH3OeaRM3BwOh1Bf2YwHdn0WRqMeJ68dEoo5yD5mlcwC7oaaEZAJubK4FrfXPwDfWBH++af/iO6+DhHQlXwQKddW1eH3v/MnuP/Aw2qGRlV9Y1JW0XC+dvIFvPzB38PhnkkwXwv/UrSfRMwNlRvw8O1PoEATwqnew2JHKUqh4qpfKpoM3BWVISDVtCY31O0N9yMwocMLP/0xOnrahck61XeXfMotTRvF7lC7t+9RGR7q7Q6TsorG9uilX+CFd3+EccfIgqQsCDoSQXXJOty745dgNOtx9vrRmCmbiVlFE4K7ogoERGpTYRFqSxqxq+FehKeN+KeX/g6XOy8uSsgU2LVr2x784Lt/ig1NrarAYi10gklZRaP88fWz+Js3/ljkKsvSWPYpJ+ysTFHZkbAg5vt3PgaTxYiPh06hd6wD3oCbg79UNCe4K/mNABGytkiH+vIN2Fl3DzzjEfzrqy/hXPtp4aJaaBEt5yjfteceQcrVlbX5DcQaaj2TsooGmxTy/3r5d9A1cClW6zolKUf7TF/cclsVHtz1OCrLq9ExfAYdQ2cx65mOnsGbWKhoenBX8g4BqtRlQUvVNmwqvx0D3eP4l1deRN9Aj8hPXsyqJchcq8Oj938Gf/jdH8JoMOVd79dqg5mUVTTyLu8s/uxn/x0Xr50QWzgKtSzVERFHglqO/oF8zBZjMfa13Y/NjdsxMteHC/3HMOEcEcROkZ58MAKMQPYQoIAuOoqNpdi2bi8azFtx4Ww7Xn7jJYxPjqJwAR+ysoVkCTPojXjyl76I7/+XP+J4kewN35LvxKS8ZAhz5wIURf0Pb/4Q7188CC+lRRGh3oSUqfVEzGQi29lyAHvb7sG0dwTtg6cwON2LYFCqDsQHI8AIrDwCtBAm0i2zVmF73Z2o0mzAocOH8Iv3X4XL7ZyX9rRQi4iUrWYb/v3nfx3f/vr3Vr7hfIdlQ4BJedmgXP0L0Rf6lRM/xs+O/SPmKAIb0VzlRZSy3OpIJCx8yY1Vrbh3x6Mwmg24OHAc10Y/hsfvEjVGWDWv/hhzC9SKQETUFNBrjagv24C26j0omDPiF28fxAen30cg4BNkne5Bz4LKsipByJ9/7N+l+zE+LwcQYFLOgUFYziYcv/IO/s9b/1Ns4ShIWURbS3dIZb6OkzI9FCJCNdeUNuCubQ9jXXUDusYuonPkAqZd48IkzsS8nKPF12IE6Hsp1bAuNpWhtWo7Wkp3YrR/Cv/22ku48PE5UbM6Y2tVJCL2Uf7B9/4Ut+/YxzDnEQJMynk0WOk0tWfoY/z1wT9C70hHlI1pt5h0SDlO26EQ+ZltuLPtfmxt3g1XcEbsMHV9ohNev0uQO5NzOqPB5zACiyNAC2G91oB1pc3YUrsX5mA5Tp8+jbfefx3DY4Np+Y+T7yCCvDRafGLvffiT3/lz2ItLeBjyCAEm5TwarHSaStW8fvzOn+NI+0H4/NI2jZmSMp1PipnMZW31t2H/1gdhMOpxfapD7DI1NjsYr6+dTqP4HEaAEUhAQKpfTeq4FK01O9Bs3wHHiAcH33kFJ899iGAwGNtYIlPoyJ9st5bga099A994+lu8O1SmAK7y+UzKqzwAK3H7I5feEEVEJhxkwo4Hey1uvo4rZYnEJXM2+ZrNBht2NO/Fns33IFwUwKUbx9E7fgVO7xwiCLNqXolB5GuqFAHJd6zT6lFjb0Rb9e0oL2rEiVMn8cbhVzAyPrRgQZB0AaHv7fqGFvzet38g1DIf+YUAk3J+jVdarR2avI6/fO0PcZXylcPhWAR2uqQsRWzHz6YaulIQWAv2td2Hmop1GJ27jo7hcxiZ6Ycv4OVAsLRGhk9aqwiI71MEInrabi5DU3mbUMeTgw68/d6bOH3hOAKBwC2rYxlXImS6x4E99+J//LfnUVVevVYhz9t+Mynn7dAt3HDauvGfD/8FDp37OTw+t2TCThXoFRfHUeKOO5+VpEwrexEEFglBrzFgV8sB7N/6AIIFXnSOXhAmbYd7Ira5Om8HqcJJxV26ZQTkNCeroRh1JevRVLoF+oAdly604+Dhn2N0Yki4iijYa6kH3ctmKcavPvlr+NYz30nYynGp1+bPZwcBJuXs4Jz1u3xw+S28cPhHGJsZivmV5ynlDEg5thIPh8XmcZX2WuxqvROt9VvgDEyjb+IKBqavYdY9JcgZBbQU4PzmrA883zBnEJDIuBAWQzFqS5rQWNoGc6gUXR09eP/4YXT3dsC/DOo4ucO0CcXvfvsH2H/73TmDBTckfQSYlNPHKq/OnJgdwd/94oc4131MIsmIpJbnHYpyX9Kvkpkt9rsipSr235EIQpGwWNm31G3Bnk13o6q8FjOeUVwbv4zBqV7MemfEzlOc35xX04YbuwwIiEp4BQUw6S2osTdgQ8V2VOgbMdA3jLfePYiz7acQCPiFqVrse75MB92Xqng99vDn8Fv/6fdhtdiW6cp8mWwiwKScTbSzfK93zr2MfznyN5h0jAmf8HKRsiywJZN2WBQ82FC7GXdsvEv4mydcg+gebRcVweY80wjRfs2iKhgr5yxPAb5dFhGQydioM6GyeB02lG9FpXE9HGMuHD3xHo59dASO2elbSnNKpxt0/4a6JnzvN76Ph+95NJ2P8Dk5iACTcg4OynI1adwxjH9483mc7foQgVAg5ltOuH4aSllZqlMhpmOXCZNyDgVhNdqwueE27G49gFJ7GcbmbqBnnMi5D07PjCBnNmsv1+jydXIBATmAi8zURp0Z5dYaNJVtxjrbJrgmffjgxBF8ePo9jE1QzepC8VqJQ+Q76/T41H2P4fvP/TEsZutK3IavmQUEmJSzAPJq3oLqYL/03l8J33JKtayQz3IqlFDC0bSoVCScTNLyuRSlTQ8HIuctjbuwe+MBlNhLMTJ7HZ0jFzE2OwCX1wF/yC8uyz7n1ZwZfO+lICCTcVGRBia9GeWWWjSWbkR98SZ4poM4deYEjp56F/1DfWKek6l6JQ9KXWyoW88qeSVBztK1mZSzBPRq3WbGNYl/evvPcOLKYSl1KdmErLRpK1Oh5v2u6IFik4sEAo9eS5AzIrCZ7NjRvAfbm++AyWSEwzuJoZleDM70irKdPr9HRHSzel6t2cH3zRQBWnTSV4g2cLGbylBtb0CluR62wko4p7zo6u7EkZOHMTDcD/oerDQZS98/SSU/+sBn8Vu/+QcoKS7NtFt8fg4hwKScQ4OxUk0503kEPz70IwyM9y5a/zohPzkDUo59LsEUTnW0KUc6AqvJjqbqVmxt2oX66mZ4Q3O4Md0lfM6TzlG4/XNSUBhpCt6RaqWmAV93CQjI/mJKCaQqXOtKW7C+bAvMkVJc6+nDkeOHcPHKecw6HWIOk5k6W3OZlPiG9Rvx3Dd/Gw/c9cgSeskfzQUEmJRzYRRWuA1Ozyx+euRvcfjCq3B65hIfFsuglBciZXkFQA80Il2tVo/a0gZsbtiO5rqNMJqMmPaOoX+yEyOOG5jzzMAf9IkqYqyeV3hS8OUXRUAyT0tV3osKyURtQbm1GjXFjag0NcBaWIHu7h4cPXEY5z8+C4/HJeUar5DPeKHG0nervKQcTz/5DH7tS8+K6Gs+8hsBJuX8Hr+0W987chUvvvuXuHjtlPDpxvy5y0bKidtRSS5ppcMaCNO/kOR3LrWWCb/zztZ9sNmK4fBPCOU8MNWDadcEvAF3VD0LfubI7bRHmk9cCgLCPA2IohsGnQk2YwlKzVWotjai1rYBzgkPLrSfx/nLZ9DZ2wG3xyXOzTYZy2Zrg94g1PF//Y+/h7rq+qV0nT+bIwgwKefIQGSjGWe7PsALh/83eke7hM9Xrosdu/dCPuVUucrKBss+ZsXOF6lIWQ6OoY9SKhWVAKXdqNbXbMKWptuwoX4LfGEnxuYGMDTThwnnCObc0/AGPFLkNlEzm7ezMVXW1D0kIo6ggIhYY4TVaBequNrWhFJ9NXQhMwZuDOLjq+04df4YhkYHxfwlf/FyVOG6FbDlwiRbNm7Dd579XRy4455buQx/JgcRYFLOwUFZqSaRafjgqZ/g9ZMvYWp2TJKgScnLslKQV+JyW5SiN1kEx6KxFSdJz7lEpawkZXFd2o0qQuo5JB5wdeVN2NiwHRsbtsFqtiBY4MfwzHURtT3hHMasZxo+QdAhqVkFHMG9UnNF3deVNoWQ55C2UAezwYoyazXqS1pQYVqHAr8eMxMOtF+5hEtXzuH6YC+c7rlYOczVXhzS97SirBJf+ZWv46tf+AZ0Or26h2wN9Y5JeQ0NNnV1xjmJ//f+3+LopTfg8jkl5ZmQFhV/k0jQiUAlkHSyUpb5OA1SjhN1BKHo5hlGvRk1ZfXY3LADTbUtKLOXw+GbFAp6eKYPU64xOL0O+KL+ZzkillOs1thkzqC7ygUhmZopepryiqkEZrm5BuvsLSjWVSLgjODS5Qs49tFR9A70wOV2iu/HSuYYZ9ANaS0bicBkNOOT9z2G7zz726goq8r0Enx+DiPApJzDg7NSTbs+2o3/e+gvcKH3lLSJRCReaSvbSjmleqYNIUPSlpAmgxl15Q3YsG4L1tdthMVshjfkxLDjOiZdI0I9E0F7/C5RIEUEickiiE3dKzWF8uC6shqmkpeF0BRpodcaYNRZUGIqR5m5GiXGKkHEfmcI/f39ONd+Bu0d5+GYnYE/VgYzt6rQ0fdTq9Xhzl0H8K1nvovbtu7Og7HgJmaCAJNyJmip6NzjVw7jX4/+PfpGuxAOh2KBXwsVELmZ+Vqs4BVVRWLXSa4YlpZ6jgIdNW8Loo1A7Ou8rrIJG+u3YX1tKywWCwLwweGZxLBDUtAUwe30OUA7ZZEfWl5krLa5UUVTJ2e7kqiGi6Ap1MSCtYiEq2z1KDZUQBM0wO3woX+gH1e62tHRfRk3hq5LfuUCqepWLs4XeVvGrZt24De++p9xz50PrkqAWc5OAJU0jElZJQOZaTeCIT+OXHoTr514ATfGrgnfrmQak+g19e/xuySbr5NJOXWaVCo/8wJ/izdDuqkgaMp9DongGrPRhkp7DRqqNggTd1VZDYxGI2Y84xhzDmDGPYEp16hQ0l6/R6RahSJBhZ+bc6IznTO5dX5cCVNsBM0JSl3SafSwGGywmypQYqpAqakaNk05Ir4iTE1Oo6evW6jha/3dmHPOio0hCouKcn6LQyJkirtoa92GZ7/8LTx096NMyLk1IZetNUzKywZl/l3IH/TjyMWDeO3Eixic6EOIqmsJU/Z8Ur5Z/eub5SqnCgZb9G8pSDnm7ZYVdFjaEEOn0aHEWo7K0lrUVzajpX4Tiq12hAoCcPqnBTmPzw3B4ZmCy+eAN+AVZnvKnZYXI2L0OHAsZyexMvZAyh0uEiZpImGT3gqrwQ6boQQlpkqUmeqgC5vgcwcwNDSEc5c+EulLYxMjgogLiwoFiZMazkVFPH8QJAW/vn4Dvv70b+LxTz6Z84uInJ1IedAwJuU8GKSVbGIg5Md751/H6ydfxMBEn1SFK3pkUv/6pqS8YPBX+kpZScqyepb+FkYoFBZtLxAbA5hgt5SiqaYFLfVbUFfZIAqV+MMeODwTmPPNwOGeFNXEBEn7PSLtKhiWfNIxvzTvCb2SU2/BaycTMBGoCM7S6EVwFr2sejtKzZUoNpTDoiuBubAYAW8Ew8OD6O7tEmbpvoFrosJWMCil00lbJeaWjzhdgGur6vDlzz+DL/3yV2A0mNL9GJ+XhwgwKefhoC13k/0BH9698BpeO/kihiaux/yw88tuKu6cVP86bVJOktzzfM9Kjp5X2EReLcR/zt8DWjJzR4SKDgk1ZTHZUF5chfrK9aivWo+qsmoRvVpYBAQiPhEwRkra6SV/9KzYNMMb9Ag1TS+6TrJPnZX10mbhvAA/kYNOL1LAGmGKjkVI620w622wG8tRZW2EWWOH1+2Dc9aFqckpdPd2oruvExPT45hxTMHplrIKRMT0Mu5XvLQeZ/5pqZYAUFlWjSc+/UV87alnYbfZM78QfyKvEGBSzqvhWrnG+gI+vH3m3/D6iZ9gdGZQKi4SoT2Yo8yYkoSTSVpxklyIJNUuVGn9LWZFl26ivP+i200qzyW/o1SDm4iajgKQ4tKgzFaJ2ooGVJXWoLqsDlVltTCbzPCF3XAHZkWw2LRrDJOuMXj8cyCLAr3IN01BZETUIsdaBKEpkl7ZBJ4wSRPJVypbGa8NLQVjUT1pMkNri/Qw6SyiipbNUAqL3g6TxgZtxICwv1AQcP9gH24MXkfvjR4RnOXxuKVCNNEgrSIRpLUy2yOu3Ldv/pWpP7SgqK6owWcefgJffeqbKCspz2YT+F6rhACT8ioBn4u39frdePP0T/H22Z9jZHogVuZyHikmk2Tsfe6RsmhaChIXRB0mBRwRZlFKvSKTd7m9CusqG7GuqhE2SzGojGGhpgC+kAeegBNzQk3PiDKgLt+cMH97/G5h+qZob0rLop9i96vYeiZ5RaEwoeYhiSsXarEVU3T3Mdk8TD0k1UtqlVQv+YBJ+eo0Bhi1JliMdpi0Fhg0FhQbiYBLoI3oEQ4UwOvxYG7OiampKfT196CrtwOT0+NCAbvcLgRDQaGmRZQ0aOGorkMK6tKguaEFT332aXzmkSd45yd1DfGivWFSXkODnU5XiZiPX3lXkPO1oSvwBwNS7elbVcpRwo4Te+KFUpmv4wFgyUo8+j4DpZxMylJz4upffi/M3dEtJ4nFyextNdlQaqtAia0cpdZylBaXi9/LiitgMVsQQgDekBu+oBv+kFfsdkXpWbNeivhWErU/ZgoX5nBI9b+FwiNTu9KPHevyAr7PRD5fYk3wGBJxbk3SufHmSDcmEhRpQyJISjIPE+EWFWqhFYFXBoEdqV4qWanXmmDWW2HWWoX6NWjMiAQLUBjWgiqnTk9Pi7KVFIQ1MjaEiakxTM1MYnpmEj6/TxF8F1fYyU1UEylLechabNqwBV/+/K/jsYd+GVqNNp2vLp+jEgSYlFUykMvZDSKOc93H8erxF3B1oB2+gDtqyl6AJBdTyjch5Xm+aKUKv5lPWZnClSRGY77mlHW7E0k5vmBQ3jxaAlQoailPWpBPEaXd6GAyWFBKZF1ciVJbGSpKqlBsLYHFbIPZYEJBUQEiBSEEIwFR2MQbdAsc6Wcg5BPKmtQ2qWxS4ETicvnQCNE2rVaixC35tIlAJXM8kbhE6HGzvDwyaYcxRYPYYuQq/K8UCCURLv0ujP3RIKuiAiJeDTTRSlh6rRH6IgMMWpP4qRW/m2HSWqErNEADHULBCJzOOcy55uByOjHnnMP4xBiuD17D4PANOD1OUDyD3+9DMCAtVui+cmS0ck6n9Oknj+1yfkwrD/gAABKUSURBVAlW4Vo0tmSZ2bFlN77yha/jvv0PCYLmY20hwKS8tsY77d7SQ79n8GO8cvwFnOs5BpdnTpCEFHqSQjknR1cnbW4R/0yS5E7he05bKa8wKSf0M8oKEilKgWSS2iVYpIh1nVYPi6kYFqMVJr0JFpNV1FS2mm0i2MxmtguTuF6vFw/fIk0R1S5DpCAsSDqMEMgnSvnU5L+mFDVaIIkds0QhlDACYQo+k/zbvqBH+Ldl/6MgM2HOVdR2XmDEyfpRRIq2UCcUrl5jjKpcHbSFkuItKqBgKz00BVqERUejWjlcKN6HgmEEfAE4HDOYnp0WQVbjU2OYnZuBx+sRc4aImEiZdlOiGueyT1mkI8lzKbmN8popuZZ6ir4sRNZpT/QcOFHeJtJksmDvzgP42lPfxP7bP5EDLeMmrAYCTMqrgXoe3bN/rAdvn3kZxz5+B9Oz49GAKYmYU1b5St4pSmn3XpCAUxF1FKR5purEALB4GxREFLucMt86fr35PtHE4LAEJ2VSXe+EgmSxtsn3IRN41CxNpnA5uEw295LypG3+CgpiUeFE1sVE1mYbDHqTqEBF6ohMlrQ3rkajFcqRfhp0Rmjk/9MZRYoPqWgiOK2GyFUnVL0IRFOktqWabtS0YDCAAL0CAXh9Hvj8XvHT6/fC7/OJUpP08no9cHtI6fvE/xPpToso5znhlw8GQ0LlSy4A6adEvuRXpqArSXGnWpjFyrrO26EscYKpVSnLu7VRXv3ddz6AZ770H7CldVsePSG4qcuNAJPyciOqwus5XFM4dO4VvH/+IAYn+8VDn4hgUVJOUrEJD+So0l5cPec+KScXP1EGlMU81wnEHV04RAkorrpl37KkvsVnIxKhyWk9wnSsoeAmqfoU+W0FwRcWighmaTwkUgyFKDI82W8u4xldkkQgzqMXBU4Fg34EgkFB0pTXqyRLEVIQze+liPy4yk0ONlBYUcTtpRWN/CuTcuLDQfYfN9Q24pF7P43PPfoUmuqbVfgE4S5lggCTciZoreFzSQl9dPUI3jrzMjr6L8Dlda4tUpYJJpWfO2baVi4k4uSXYFaIMlScqOJWAqXqly0RyRuEiPfCjSCTXdxCkCr3VzQ7wdqgtEooPNBC3CaZlJOtBMmLqcWIl0l5kaeFZEmgXPkdbTtFQZAH7nqEt19cw89XZdeZlHkiZIBARFT9OnT2VZy88h5GpweFspLTYCSRF2eteZHVi/mZ56nnJSjllDW849e7JfP1KpFybHCUJvkFI+EVBL8gnsmLhTi5xz6S7DKQFx3pkHLMH5xaKSfPibVmvpZrWNdU1uK+Aw/jyU9/SZir87XSWAYPDz41TQSYlNMEik+LI+DxuXGm8wO8deZn6Bpoh9vniu4QlWjOzDYpJ7ivFTbTBDN7qoVBnD/mR7Alk2GWlbKqSDkJS8kaEDezJ+wylrLy2/xvYb4Eesl902l12LhhC774+Jfx6P2fgdVi40cLI5CAAJMyT4hbQoAeMrS71Ntnfi5U87hjWPgnJVNt9IfChCn/fZ5KXVA9Z66UmZSXVynHzd6KBDOlik5lol5MKa9RUqaFB/n+bdZi3LFjH371c1/FgT33qKLy2C09PPhDiyLApMwTZEkIOD2z+KjzA7x95mfoGbwiqeYIJU4VRIN8FLbWFA/l5PracfJOIuUFamIn+GGVt2KlHFscJZYoTd98fauknOwvT/RpJ5glVK2UZSuA2WRBS9NGPPCJR/DYw0+gvqZhSd85/rC6EWBSVvf4Zq13PUMdOHz2VXzU+SEmHCMIBH0JAUaJZJtM1ImRwinrXGdIyvFrJOXs3rL5WmrAfFN4vGE3j76ORWcpIpIXD/RaTfP1SpOyRN5qNF9LY6rV6lBZXo37DzyEX/ns06JKFx+MwM0QYFK+GUL8/2kj4PY6caX/Ij5sfxvtvWcw4RiViltQeo8sfFOatBPV06qTssIEP09lpuNTjpJNYiqQ4oPR6OkYMyeYfOM3T7kAiPoGFvw/5fomOWArZbsWDvRajJSjmVvz054SUqCiKVHJ0d/K4VYRKct+Y8oxLyupwG1bd+PTDz6Ou/beKwrI8MEIpIMAk3I6KPE5GSFAJuyLPaeEciaSnnXNiIpUotrUEkg5VaWvhczXS1LKTMqSYSNGpvN9ykzKiV8J4bIpKIDFbMX2zbfh8U9+AQfuuAdVFdUZfXf4ZEaASZnnwIohMDU7jhNX3scHF9/EteGrcHvnEApHC3UmCsfEqGdlyk9KZRpvcjqknKy8F0qJkrh4MVP6TfyxCW1dIE95ERWdKk851tObVilLtDYkqvS4e1nOcY5VLVskFzmbpDwvVSpPoq9lMqayqY3r1uOhux8VfuPmhg0r9r3iC6sbASZldY/vqveOio5QlPbRi2/idMdRDE3cgNfvidWLXlw9J5bUXLwmtqJ6VAI/Lf53JemlJOUkxZiS7OQ83iWSslLdJyjV5P6k3GQjA1JezASvsBKsKikn5TotlPq0GilR8fKpBaIUKu15vHfXfrHv8a7te3hXp1V/6uR3A5iU83v88qb1tLECqeUPL72D810nMTI1AI/XJdVKlnsxTz0vQMopzctRE+s8PyqTcgLZKyt8KXlcXlhklZSTg9yU75Urh/l11sWUSS6issLfBpmMqbypyWhCdWWt2Djiobs/hd3b9kCvN6xwC/jyawEBJuW1MMo51Ed/0I/+0W6c7zqBC92n0DfSjVnnDAKhgHjKyjsHJUYyRzuQyqy9kFl3oQpYqdKylESUbL5WlVJOCrxaLVKOeQhSk3JCVLY89IkcLf01S6QskzFtACKlN23CffsfxN377kNzYyuMBlMOfcO4KfmOAJNyvo9gHrd/enYCZ7uO4cOLh9A50C4FhAUDUVqMb24Q6yKTcsx0cGvR19kn5XhAmEyiygInaZLyQuS7wqQcI+PCIlgtVrQ2t4n0JqpTvb6hhUtj5vGzJ5ebzqScy6OzRto2PTchVPOpK0fQdeMyKECMthGk7QdJIMX23c2ElJN2qVKayGOxxEm+VUl8JQV6qUopp5FrvWzma4U7ITklKqVSjuM+TylnkZTjJmppu0yKpm5pahUm6gc/8Smsq6nnSlxr5Lm0Wt1kUl4t5Pm+8xCY8zjQO9QpyPl85wmMTQ+D6mxT+U65Stg8//MiUcnKiN41QcoK+bxo9PVyBXoJAlf47Om6ydHc0b/Fzc0LKeXVJeUEE7XRLFKZdrTtxr7dd+G2LbuxnqOp+YmVJQSYlLMENN8mfQTI7zw8eQPtPR/hYvdp9AxejavnCO09LBcjkUt5xuWd0qzLpJzsi0/DfJ0y2C5mW0iqa57fpKxUxVR9q9hajI3NbcJXvHfnAWxo2ghKdeKDEcgmAkzK2USb75UxAlRb+8ZoL851ncDZjmMYnhzAnHtWqhQWlhkkujtVUqqQMqVnTShlReRTaqXMpKzcn7qoSAOzyYz62kbs2blfRFJvbtkK2laRD0ZgtRBgUl4t5Pm+GSFA/uXJ2TF09l/Ghe7T6Oi7gJHJQXh8LgRCQUTC4ej15IKeyjQaRc3q5Yy+lhcBKdKJYhttxPypiRI0kTSTTLc3K6V5y3nKSyTlBVR0QqT8spivk5zIS/Qpx4i4ACgqLIJOp0dZcRk2t24VVbf27jog/MaU6sQHI7DaCDApr/YI8P0zRoBU8tj0CK70no+Zt2X/c5AIOmrili4sqWglcSxboNeaJ+Ukkr+JT3mxql2COFMEgIkhzJCUlWqYtkzUaDQwGcwoLSkTqnjn1ttx5+67RAR1qb0s4/nHH2AEVhIBJuWVRJevveIIhEJBDI7340rfeVztv4yu/suCsClAzB/wIyQUtEJFZ1EpJy4G1KiUc4eUlURMNag1UdN0TVUdtrftwo62XdjSuk34iY0G44rPS74BI3CrCDAp3ypy/LmcQ4C2i5x1OYQP+tK1s7h6vR2DY9cxPTsJX8ALKvlJfmjxTwSLSQlXshqTRFkGKVE3UcpMylEXggypbLOPvY8vVDJVynS+bP0gEiZFTGZp2o2JfMLkG96z807s2n4HKkorRTlMPhiBfECASTkfRonbeEsIOD1zgqB7h7vQ0XcRndcvY9IxHlPR4YiUaiXzsKjDzaQcw3peoFyyTzm55nem5mtlCtdC5uvo8CQrYUTVsMloRrHVjoa6Jtxx2z60kRpubBVmaj4YgXxEgEk5H0eN25wxAoFgAJOOMZEH3TNwFX3D3RieuIHx6VG4vS6xtWQwGERY+KPjaplUWNrkJElthfJW+rLz23ydEJiWbCFQ9nmRQK95KWopSFmyYiQ6kWmxVFhUJDZ6IBIuL61AXXUDmuqbsW3Tbdi+eSfKyyqEWbqgoDDjucEfYARyCQEm5VwaDW5L1hDw+tyYmp3A+MyoMHFfG+xE31CXeO9wzYjNMuSiJUpTaTzqSDJ7S2Uk5+fxSuS8EClHzeTJkdmLFEJJewcppfVdQZbK4LaUJTqTVe9ilcxumZSjrYhiJqwSSlN21JtAJEyLIb1OD5ulGKUlFWiq34C2lq1obd6MdTUNqKqogdVszdp84RsxAtlCgEk5W0jzfXIaASJet8+F0ckh9Ax24PrwNQyO9WNovB+TM2NwRyuLhUNB4ZsOK9R0TNmJQG+lj1pBysoQYsFFCjWovJZE9XHCl1FLl7BzlJSlhY0ywlrqWGHUDE0lLQ06A+y2EkG4FKDV3NCKttataF2/GaX2cuE35oMRUDsCTMpqH2Hu3y0jQBHcFCRGfuiBsT6MTAyK3OjRyWHMuR3C7D3nmoXX55HqdEfCElnHlGByrWmJMQsiUd91nipl0exo4ZYEK8I8n7K0QKH+UjxdPCraCrvVDovFhtLiMjTUrcem5jahhottdqGOLWYLdFr9LY8df5ARyFcEmJTzdeS43auCAPmciYQdzmlMzIxieHwAo1PDwjc9NH5DvJyuWWH6phflTVPaloj8jiliib0k03dUGStczjFxrPxbBko5wf+blAKWmelabmM0/C1BhStVr7RlSAEKQdsbago1okgH+YD1eqMg2eryGuEHrq1aJ4KwGuoaUVO5TmyFyAcjwAjEEWBS5tnACCwDAkS+5Kd2uucw5ZgQ/mpS2NMOSWnPzE7C5XHC43ULhU0+a3rv9dFuWCHhl5ZNvOJnlLSVQWeSAI8xeSymrEDwY7TUaDRVKFNiFp+Okq4c3EY/lUdBpFCoXSJevc4Ai8kae5mNFtisdlSUVqG8pBJlJeWoqagVZmeqH01BWJSWRKUt+WAEGIGFEWBS5tnBCGQJAVLYlKY153II8ia17ZidxqxzRtTzdjhn4HLPim0ribyJtF0el6jzTeZxegl/djgkiqLI76nEaExURyIiAllEIScEeilkrhxQVVAoFG1hQRGKCgtFhLNeS+RpEEFWVrMdNrMNer0BBr0JZqNZ5AHbbaWwWeyw2+hVgmJrCYiU2eebpYnEt1E1AkzKqh5e7lw+IUCmcTnim3KoY0QcCsEX8MHn88Dr98DtcYpiKKSyXe450K5acroRGZLJF0uFNMSRwixOfybFS+dZjBaYTBZBqkaDGTqtDoWC1CVFTPWgiWwpICtWaCWfQOW2Mg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JJDy8ePHsW/fPvX2lnvGCDACjAAjwAjkMAInT57E/v37UQAg8vzzz2PHjh053FxuGiPACDACjAAjoF4ELl68iOeee04iZfV2k3vGCDACjAAjwAjkDwL/H7bqrShzlwoLAAAAAElFTkSuQmCC"/>
        <xdr:cNvSpPr>
          <a:spLocks noChangeAspect="1" noChangeArrowheads="1"/>
        </xdr:cNvSpPr>
      </xdr:nvSpPr>
      <xdr:spPr bwMode="auto">
        <a:xfrm>
          <a:off x="361950" y="567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3074" name="AutoShape 2" descr="data:image/png;base64,iVBORw0KGgoAAAANSUhEUgAAAeUAAAEkCAYAAAARhClzAAAgAElEQVR4XuzdB5zdRbUH8LPpvVdII0AIqZCELtIVe++9d5/6LM9envrsvRdExY6CDUUEfCpIk95LgBRCeu/tfb6zDF73bdjNZndz797547rZe///mTO/M3N+55yZ/0xDROyOchUECgIFgYJAQaAgsN8RaEDKn/3sZ2PWrFn7XZgiQEGgIFAQKAgUBOoRgRtvvDH+8z//MxIp/+Mf/4hjjjmmHnEobS4IFAQKAgWBgsB+R+DKK6+M4447rpGU//KXv8RJJ52034UqAhQECgIFgYJAQaAeEfjf//3fOPnkkwsp16PyS5sLAgWBgkBBoLoQKKRcXfoo0hQECgIFgYJAHSNQSLmOlV+aXhAoCBQECgLVhUAh5erSR5GmIFAQKAgUBOoYgULKdaz80vSCQEGgIFAQqC4ECilXlz6KNAWBgkBBoCBQxwgUUq5j5ZemFwQKAgWBgkB1IVBIubr0UaQpCBQECgIFgTpGoJByHSu/NL0gUBAoCBQEqguBuiPlLVu2xNq1a6Nfv34xYMCAaGhoiFWrVsWOHTti6NCh0bNnz+rSUJGmIFAQKAgUBOoGgboj5TvvvDNe+9rXxsaNG+NLX/pSLFy4MN75znemPb8//elPx4EHHpiIulwFgYJAQaAgUBDobATqjpR37doVl112WbzpTW+KlStXxrp16xIhf+pTn4oZM2ZEjx49UuTsZ8yYMdG/f/92Jelly5alOkXlQ4YMSRH6kiVLolevXjFy5Mh9itSVu2LFilT2oEGDonv37p3Wn9avX5/q7t27d4wYMSIWL14cX/jCF1KbXvziF4eTT84999x40pOeFI997GNj9+7dCX/ZCvJ2pqxtAYW8q1evTj9kHjZs2F7pim70qYEDB6b2bt26NX784x/HVVddFc95znOSvn74wx/G5MmT4wUveEHCQ0ZHH/HTUdfOnTuTXJxUbSJHa65rrrkmyTtx4sQk/xVXXBF//vOf43GPe1w84QlPaLU+4ZL7wfDhw6Nbt26tqf7f7qEb/W/58uUpA6bPGcdNL/dt2LAh1Wdcu0/mzHPsgr8939y1efPmMHY57KNGjUq6X7NmTRrL5G4tbnvduCYPbN++PelLO+hLX6rVi+1jJ2AqGKp2G9BZONcdKQOWIbruuuviwgsvTEbghS98YRxwwAGpUxjcb37zm+N3v/tdvP71r4+3vvWt7WYUdcK3vOUtiZze+MY3pvIvueSSeN/73pcG9Te+8Y2YPXt2mzonI//xj388zj777DjjjDPi/e9/fzKYnXWdddZZ8bnPfS6mTZsWH/rQh2LSpEnxkY98JH7zm98keThCffr0iU9+8pMxd+7clKX49re/Hccee2y85z3vicMPP7yzRG1TPfoMJ+OrX/1qPPGJT4y3ve1tqY2tuZBrbi+H5B3veEcceuih8cc//jE+9rGPJTLglN17773JWXz0ox+d6vrpT3+a+qa6xo4d25qq9vqeW2+9NenEYTSve93r4g1veENyHFq6Fi1alDJLf/vb32LOnDlx2223JXKi8yOOOKKlx9P3S5cuja997WvxzW9+MzlrH/jAB2L8+PGterbypk2bNsWPfvSj9Pypp56axkFzfZ/TqJ9+/vOfT/f9z//8TyKF//qv/wpkZxw+/vGP/3/1I+xLL700Hac3ePDgVP7o0aOTI8+GvOQlL0l9WP/u6Ov++++PT3ziE8kBYkP+4z/+o6Or7JDyt23blvrcy172suRcfO9734t58+Z1SF21VmhdkvI///nPNIgdValzGMDPfe5zk7HlET/jGc+Iyy+/PF7+8pcno8nYtMeFOF/96lfHL3/5yzSYEP7Pfvaz+OhHP5o873POOScd2dWWeW2RDoP+i1/8Ip0wgiAZ/pYu0cNnPvOZRJ68/srUve9ciBbJ+72n68tf/nIqx3ncjJ2sw1133RVvf/vbk0ETXfz3f/93PPnJT051MGLf//734+ijj05G5sgjj2xJ1P36PYcKCSHLpz3tafGud70rDjrooFbJhAwQBkIQRcIScYl2vv71ryeiF7294hWvSHjpJ+7/yU9+Ei996UvT/a2tq1UCVdx09dVXJyKlI04igmIkW7oQlTFifFx88cXJ0Xr3u9+9V1HyfffdlxyCb33rW/HUpz41/fuQQw5pqer/9z1HGrZwOu200xJZNtf3H3jggfjiF7+Y9Hj66acnR0n0y1FGypxJY7/pRfccKM46W+B5v/Xhv/71rymzoU4ZlNZcxioHTJ30ujeZEJiR86KLLkpOAoetFi92lh2URRMQscflhMJGTdYdKRtcBiGPk2FBEH5PnTo1fv/738e4ceOS9+97aW3pxOZSYW0ZCM2Rss4p9ccDFzW2NQ2GQK+//vq4/fbb47DDDkuRZ9++fVsUU9tFbhwCER0DlMlY5kAmAYEgDoZ3b0hZ2TfddFOKokwFKEc7XTfffHP6XLQ5ffr0lE6s5mtfSFmUnXFAOhwWuoGzaFHWhqHmmDDSjDVdMtywocv26oNNMeaI3XDDDUkODhUya+2aCv35lltuCdG2caJ/mL5o7cUh5rh5nmOsf8gY7O3VWlLO9WkvnEVmHAvO8d6SsrbSqUibPtmP1uJG3+rklCFYwUBrL33iwx/+cM2TMtvAEeXU0LnMRbXbgNbqaF/vqytSRoDSJb/+9a/jMY95TPKszX8aXOY8LQATJfg3r5oxRNIMomgHkZhHciE+BjZHtQzL/Pnz02Bn2HQ0JOfAaheCl95qGinrnMplpBlFz5mv02EZKWlL5MhJQGLkYwSam/ti4HjS5mcOPvjgJKu2+NvcExmRonZVDgD3MWzIQ9Ty3e9+N2bOnJkiH+Woy/MWySnffT73k1N2zUXK7vOMxXT+zXAjYYYbVn6kAZXDwJOVcYSDlC7S4mQwRJ6rrK+y4yNM99xzzz0p08GxQWbKZigRDx3DUdvpElYcDvfx1LNBZbjvuOOOhLfv6RhheLZppOw5mC5YsCDJpq8oV1u0VRRmDlpfkWLVXs8oM+P24IMPpmfIqC/qO9LHPpMi1m59SlmwoAsEQB/K9Jky1OG+PCcLE/Uph0Ok3bnP0EfuS8rX182raoO2wgL2+T7zruRWR6XTqH6Yu0+/1WbP69Pq9p2+p27f69Pw0hd8pi/rT3TnvilTpqT5UkRvXNGNe+j07rvvTvWow32Vc8+ZlGUXRMDS0HTA0VCu8QJvmChDnzSuyICURZv63Xvf+97kGNG/8ZH7UHORsvGsfeqAu5+Mm/6lv+W3POAGZ+2GtQjReIGrDJ15eHXlKQrjEXHnNQUyVDJNruZIWd+59tprU3nu1Tf8rS+bDvOs9sFaf9FP2ZZKJ4JTyFmBG2dFfzAes12qnD5Rj3KMERcdwU2mIK+9YPeMc5kwn5NFn4M//enn2snWue+oo45KOuWMwo/9mTBhQupL+reMjuyEwKWjHNR9JdP2er6uSFknf+Yzn5nSA1LT5oZ0YIPOgNE5dErzeOY7DG4pRR3cvTqQzuXSsaWL3ctQWcEt2kT6BrkOpFP7XoeXpmYcEL85ZdG6H3PKjAnDaU7ZAHre856XyFxq8ylPeUoypuaKc1oYOTBOlRf5kajFQ89+9rNTaovcHI88oAw6nV+qjaHIV46M/S0FLUUrEpBORAAGD6L2IzJwvzLJ+cpXvjLNAzYlZQPKXKFnGCIXIyjdeeKJJyYZpBzPPPPMlLJFOtKB6lKvNKQ2Sa1Kc8PRHBojW3mJNtSjLCRmEDPopgGUe8IJJyQDwuAa7HTA4DHMjIDv6c5vhEBe9WmnCw76gXleUwLmI5/+9KenZxhesqrXPY961KNSP2FYEC9i0p9kIhjT73znO2lRFN1oh/lIGQgGh6FDxuZ1pVDNtUpfm+PVT/70pz+lND/jT8/0yBlQn/UP+pz0cyZ79Zqno0+GGrYMGiJV9mc/+9kUoekr5q6NCenZ17zmNamPX3DBBUmn+jB9M7x05XtzyAwyzPU3xMTAw5BsDKrUsFSx1K7+zeGQgTKFYTxIk7tf+/U341IEqM/SlfHgOXqEL1nUZdz6vjKiRsra6n64ciDoRj36qSkAcpPROgbjx7iiO06CqJXh1zeQhh+krA/qQ9rTNH2tHvqAG0ebTmErla/t2qH/klO/Zxee9axnJV2xG9m5972xaJyaVze1Rj7l6MtIEbHRLfJGrJWRsnItuDNO9A04IUHjUp9SljUdnEM2hMzqgXtlVoODoe/pp6aYzFnrv+6hA3pD5MYyO3T++ec/3AZYmZYxBthFmT/6pAd2Dwkbe2TkkLCB9O8+U0GcZ/fpI7Bkp9xrrl4//sMf/pB0iPjVm7Nt7UWC1VZOXZEyb9EA1Dl1eMaVARQ158jRwGI4zdnoiDoQY6Czi+B0HB2YgWE4fvWrXyWjx/Ayujq2f2dSVr6OhYg935SUdTiGDIkhBKSsfoYaSWdSZnQ++MEPpoGBGEQ1lZe2MSA/+MEPkiHU6Q1wshjIIk9GkIePTA2Y5q4cDWZSZjAYTe2HES+aIeG0IFJExbBnAshzygY3eZEmAkEWiPBVr3pVahOy0D4GAmEoi2FjYJWZSZkBQroGKN0Z9JUXQkCQys4RmbUCIisD3DMMUp7bZrC0wTyelc+MMcPme2TN4NAX4kHavucQ0CMMYK+9CIqB51Qx+NYIiOjo8rzzzkuOlDLgLXrTn7SXbtyD9PUvAxAZiJT0K7KJnpSNLJWLcBE4Q0XvcM2kLP1pPYA5bk5LnrJApOqEX3YaOJhwsYbBVI1y9X06txAPBvonB4BsIlvy5L6MwGClb2V59AWkgciRoL6LPBCyfvOiF70oyZtJGXGK7PzmnLmPg4Cw1Mkg67MMNYcjk7I+oW8bX4x/JaFkUtaPEJFoXf/1VgPnlmNJZuTEIUHGdKjdojd9hCNFRoZfXxVBI1XywxA+8M1zysa+z+kPycLu73//e3Kg9H11GgvwVpa+yZngrGmzcW/M0uPxxx+f5tQ5k5ms9B3RJOdHild72AeXepGmvqHvqF9gAVPyZj3Rx1e+8pWHSdnznkWYHP7KhWnkNDbVZWwolw6sNWAr9R24cXCNK5kj7TO+jQFjRn/SfuOPbeW4WOOSSVlfNXdMbljAhS1g8/R1Nkn/EvzQDSJWrr5qTHAqZTlrecV5axyAuiJlgCAoRvy3v/1t6myMdI6q/DYQdYBsmBhcA53xlzZh7KQEdUDGhYcnQmJo90TKDJbO+UikzJAYNMizvUkZsRgQyhXxMGh7evWkKSkboKI1TojfVqd6HgmL5Hi6DAk8Kxd6GZi8cu3yPePDeOZNW0TMyFa0VknKBjkjXUnKUuoWhDRHygwb0uFMaZO/ZSxEDxa8MeAMFqOpDQyPqIPBQRpkQHQIwDRCjizplyEkD6KTDSGXZ+hbX2BUGHr3csxEFtrKm2eU1Mm46T+wYAgZTZ8zyrIFjLVnkJ9I3UVe+Pz85z9PRk6795aUlYMcELC+h1AQN5n1BTiJzrQdGfrcuND3ERdZOR4iLn0ACfgMqejrHBhlIxR/az8dMNawQTx+ODQtkTLCRcqcDqRMDoa6LaSMyMjDMeCUaquomd5lAoxRumhKypwkUTjCMK61FaGZ66R333NYMimLwBEc51S5SEs/5dRxwsjO0WYr/JuDBAt1cwDo1XiAjTHE7ugTPvecfmvsSKXrkxwkfUI/US/7ZCxyPGBGNv1QX/W3tuyJlGFNx82RMsz0XTLrh3DQ5/UF44p+8xSWf0tzw1SfR6iIm7OrTRxofbglUjYW2RKkTG4BiTbnSLmQ8kkntYbMa/YeRCyNzeOibGk6BsoA4IlLVYlmGEHGCinr3Don4yYN437GWhpFZ2L8Mykz+IxuZaTcVlJGGFJJiGxfImUDlfyitpbeBWxKyqI/RifPEYmMpAERjR+RLmPBo/ZsjpQ9hwQ8B4tTTjklGSXeLmPAALcHKeuIDCPDIJphULNsjIvogc7pBOmSFfHAVCqNjnN0jnwYSTLz8smsL4gEtVv7EA1j5Yfx1A4YwFW0gWBFDhwNEQUyJxMCowPOBYKUIhc5I2kkZAqAw+dHipAczZEyUvQd4yx9vadIGS6iDHUylBwJ+oAR4hClehY22oCUyZ4jZ/IhV32HvvVhOlUvwvAdckDO0qZe9UJ0sIInQy6NmyNlfYBT1FyknEmZLhAWPHKkrL9wulqKlPPqayRKT8gZPp7Tz0SHcDNetb8pKWuf73NmS99AkNoGP/rOa06U35SUEZ2+xZ6wATDiJHK0jF1t48DRuYyIe+Dkc7K4TwYvO5H6pz6FrDk7nBQZBJEl3EWW+qu+xTHS/tyHKklZmpqTIFuUI+VHImVOgCiWfOwemyc7oV8gZW3SRpjSlf6qX4jy6ZoDg1QzKXueLtjNPUXKhZT/nU7rLlLOzWewdHbkqxMawAyGzshb8zlDysNmtBA248Qo+m2uTUc0OCpJmSFm/KTCLFiRlmoLKfM2ebM6t7Sx+kU2Fm7sbfra88piMPeWlBkLxgmhGVxSR3mBiAEqIkFcjFhlpCx9xziQG5aIRhYA1tqkDQxU00iZw2RgM2A5Vee+PUXKcIKLjowkGUtZDfo0z1VJytJ6IgBGENmY32MoGDZ1igakzqTYzCEqR5lIAsHn+U+GmiFiXEWSIln3VZKyduoL5ombkjIjl+fb3cPYVs6Vi8q0iUFrGimrG3lwsJAV+UUpTdPXuZ/nFLa+/vznPz/pkTPKMVA2nCpJWV8WzZluEen4yfr2W1pVWlFf4LzISJj/lI3h0JqCQAKiTDrWN8hI9xwC+jCfWpm+bo6UjR8kx5nQd9yDtPaUvkZKeaGXDIQMABw5UfRG5wjPVFRzpMzRRnb6pvHKaeeMctaVx9F7pEgZmbMX8BZt04dLW5EZfXIY6F1GJZMy7GWwRJy+Q9LIVnSZx2reXAPu7A889V260OcQt/pg48qkLHDgGOnX5Mjz7i2RMlmV5XmOIVk5XfCncziI3GEs00g/SLcpKec5Zdkg92c72jR93ZSUjWmOkOwDO20skrmkr2s2Ft6z4Lw6Ay5He+5kXEVwvD/GVQpIZ8ikbCAYcDoKY+hez/C8GUWDXESVI2UeJUOgQ+YFXQZXa9PXPGIGRFTBSORoy0BETrzivSVlXreIqS2kzBgx4Iw5Q2twVi6y8W+RL8PXlJThbVAxjuZjDXApN4TFUJGpKSlLuTLASJBD4F7YyVg0l74W+eT3vBk0EaAojw6knytJmQ5FsBwtaXwyi3r8GxHllLk+gnC11/wwg4A46RN5y16ISkxdwEcdDKv+kCPlPZEyw8XYc1bUn+fUpX8rI2VlNkfKSF6/4Axpj38zlHsiZe1Abgyb9QGMIyOPoPRrjmMlKdMvEqIrxhfJVs7fipDpWxmiR1hxdmBlbhsJc2K0Ly8qoh+rjzkP2qU/7omURd6wVidyICOSyfPvZHqkOWXTJEiXAZe21japXqlVbUFMzaWvRZLqRUZ5wZ/6TWnpj0jzkUhZ9gVu+jUM9BPttGjMuICHe/ybXKaCkB5s9K8cKavT2g+p8Mr3lznAcDeW8pyy9K7P1WWtiTGGqDMpk1l5bIjnYMFetYWU8xoK/QKOOTpnQ61/UHclKYvoZRJF5+wj588Y1lcfiZTpSdbGPDlsZBM4FtpMF/pQmVPuQuSsY+oQVi5bWGPQiHiRHfLg9fNmEW8mZQTtb9FAXhTGS2XkEJJOLrrQKQ12BKwO3/HezSkh6NaQshQs75MjwFNnqEWIPGvPmz8S/XUmKYvgkCFCgpkBLXoy4C0KQZ4IghddScpWn0pvIQKkZ0EczAzW5kiZgTcQpaIZAORgdSY9IBIyNEfKcOKwuAduSEv2gmES9VSSMh0iBwQqckOq5tDy4isGw3Nkll1gABj0TDR0wADqB/oFA6zdCEA9ymyJlPUl91gUJGqHo2yKiJBDAitRcOVCL+0mG8NkoQ0MORywMW0gWkHKDH3Td9NFyAw8whDNIH6OgLJEtpm4GEKkBEPEhdiknLXVlER+7SZvtENP0pQWRinTmBAlIgrOK30jT8TCgfXbZ0hXtqcpKbsH8Yr89A9OoD7AydJGTjPdtkTKZIElx4nDIethURbMOYB7WuhF77I7+oYMGFvAyZJd4NTAH757mlP2nX6HsET5CFiE6Dk2Qt+AOYcbBmwEXRrPMHavuVpOASKiY06iCJ7TQ3d0jIQrV1/LSqiTg6ZsDoTIlePHsUdk2kQODiz71BZSpgsEy/EiIxuqDtkkEb5UN1Jmm9g8Y48cbIMfY99YZXObI2UY6VvayIGhC/aAU6l8/biQchci49wUpKaz6OQ8fT86PUMmGtQJ/JuBYMB5ljogY8zQ8GYNWB07LyxCVgYPT1AEhkjyu8u8V56yOqR3GTCpccY+r6plbERviBuJI2KLpnRORlrEoCPzni2eUoYosOnOR3kLT0TBkCiT0RS1cBAYZuTRUvoaUXAwyI6AGAtt4rUiEnOQyvCbXBwReBmw7rewyWeMBAPBsDEkIqqcepNNYPTznDIjLPIUOfKKpUK1W0qYU8BAMziyGE23YcwpXHqAAZ2K5mQzROX05jKnDD+kl1cKi3LJ6x6GA/6wZUzIrDz6kAVhlLTHXGl+JYpBQi5wQZyIgFHKUyL6jjllRpbjkBd6KU/7tFWdCI+OEApS44jBBjFIMdOhPqR+ZE1ubeQ85GhMNOTepqSsTNF+XvBEHsYUAfs3pxQZMuCMu3FgxW/ObOjn+rNyyCyScQ+CRfSivXyJ0uDMqUI8+pJUOVkRKv3DlAMsguPM5tXXmZThoO1wpEN/M9ZSnAw0sqOvykVK8NW/fc5hhIF71eXf3jYwHrQDKZMLEdIlWwAPTp3+hsi11bMySwjQ2EMq2o1c85wyTDknCJlO4aY9HIGso7ynNieOfYE5m0CXZNHPch/kjNG578gDb7K4ByHJRujf2skBom8ycYj8W18wlmApomVDYAMD0SVniF683icAqMQQkdKtAIAzJWVNtxwN7aMrZbJz/ubEqS+PN2MK+WuT53KQQn71c8o4xOpXNlzz6mu6RcqcRHjCiq1WPhk5Zhx82LOXrdlxrpbpq67mlA0QnUKjdS4DjxeNJHhmDIdOZGDwnBlZg8FzSFpkqPPpoF7hQZq8Q/M/OqcBzhv0nYEm6rZqVTTE2DIYyJnXisgNjhwF88AZHOlrdahLhGBwu1eZjCCZEAC5m14MIOPKmHgGYTGeBrcBw+i0tOsQedXrXt66ehCCQeJzRouxNEAYEelCAx4JM1ycCxEJA+h+eDMM5kKlsRCJQaoeAxBO5o9FF+a9GBvzuoyxwYhIYcpgwLrploR0wxgiQotUyGu+k5FRJrKFP7IgO2cIxqIU0TCyZawMfm2EOwPA80cidE2/5LGAS5sYDzIzsCLp/FoT3OlW2crVd2Cvn2mX+0S4+dmcbRCtIz/1+Y4jolxOla0HyUA++oSb6NbcucyFdsMLsTDGzW2s4Dkre/VpZSPNvHkEGejNK2WiLgSkj4jMtMWPeX6pSM9ok7plnbSHw6S/wpycMj3arM943SivJyCrfoKwfIdY3Jvfb0ecDDXd0AOs4eJveOsHMGHQjaVK5xLJcxzphtPKyLuX3KJ8ulCO+5SjvdoiQ6EuTrI+qT/DUj8xVj3HKYOp/sTx0w84ZfBQh3v1az9sB9yMBY4anRoncKH3TGLmgNkf41W59M5J0HeNFZhqvzEPS/2PrYCxNsHUPca4et2HmJVlzOjzxpLxpT/LpOib7BXH1zoIDlglhuRGwBxN496CPno1FmSU1C2LwkEwzkTM+g6HyZiGKx3rg+5RHgKVMWPbYKndnoOHfg4nmYI898wWwEyfg42L3PDnRCqDs7Y3u8bVIjnXFSlTkI5hcPptEOmYlFxpzJAOQ+pz5JJXn3rO5XPP+2Es87P+RqJ+ey5vRuJvg15dvmeUDG4/+Zk8Z5RfVXKP+sjI62d0DRLRog6NnJoSrPvdk+vOZbuPnC1FydrmeT9N5cnzw+TKuJFf23PGQf0Zz4yZ+xGn++CRZcj1+Fw56stz/r7zPKMnomYgpS0RRnP7Cytf3XSmHGXmf6sTiWVSFvHLlrjHvZW6Vw5590ZmsqpbeXD3bNO+k1dCV+om7/6UcdD2jBG5lFnZT9xPPvdnGaUjRZUcI1E5o9jc1qoZH8817e/5u7zRRV4vQB73q889ZNI+P/5dKYv2ZT1W9rHKsYb8yEqnHEQ6YNRNHTHeMkiIGnFXlg0HhMMYI0gOKZKubGelrDmT5bm8kQwdZ7zzuMpjxD3GZG5fxlY7KsdMHkvamufUYUPXeSz7LsuSx65yfN90P/vKPpvrymOgErcciebXGDM2lfVWlqWuHGHnvqVNHByRsygTzrIalbv6ZRz8znYvZwzgQ8a8Ej9jkbNmdK+uvN4g45DtUe5zystYy0bJ4OQ99f1bJF1Zp/JlFUTmMgcyHJyTvdkrvJByLSJQAzJLn0th6sgGlRQmYu7KHqPBKQ0ukuL1izT8jZj39uLtI2WpWvOD5oj3dETf3pa9v+6X4tcWaUhGT/QmmkBY1XjlOXEZA31YxM5oi95EsZxNjkVT8tLOHE0z+qIlaWMRcLlah4DpkbxpB+KXTZC6lxnYHxedCjJE/BwGkbnpr6ZjEtHLGJgD11dE5aYOZDi68lV3kXItKhMZm4/k7UodMmDS7a2JfGuxvVlmqW8rqaVBGRBpy6Y7mbWmfbxt+FlII3UnxdeWk7haU1dn3cOYGbyiZUZOSloEmvdI7iw5WluP9RjWSuRUMT2KfsgubS7t2ZzsDLM0p8U/UubS+dKo1drO1uLRmfeJqk1PGANS3Bw3GYc97erX0bJxsq0BQLjWrHDGmjsIhWOuf0i5570DzN1XbhHc0bLuj/ILKe8P1PeyTmkciydyikgKt6tvyg4ixsTcbk7j8qTb0m7pNuUoT8qu8pW4vVRFVd0ueshTLVKLfva0U9v+Fst3/zIAACAASURBVDynWM0ZSslyivIUUJZ9T+sd9HvP5f3p9YNqbef+xnlP9VeOJdhbP7O/MNQX6FMqmyzs2Z4CDPcau3lqjNxtsQHVqpfm5CqkXEvaKrIWBAoCBYGCQJdGoJByl1ZvaVxBoCBQECgI1BIChZRrSVtF1oJAQaAgUBDo0ggUUu7S6i2NKwgUBAoCBYFaQqCQci1pqwNkzYttLLTYm9Xc+X1CInlufy0a6QBIOrRIC27ye9utxaw5HeXdy/ZGZ00b1lbd7wtA2l75Pvm+lFWeLQh0RQQKKXdFrbayTYyjzRu8uG+nMO/v2gWrNZddfbzM7x1I71DbwKKrr4psDS6PdI8NNLzeYXtB22J6t7jycI/mnrW62mthdlWybajXgWDvXXV4K2dv3ze1mt1rRva4tuOSXZNszmKXq468rKL1SpR3Ur1vbmtIuz2VqyBQEPgXAoWU67g3eM3AnsD5BJt8rm9rIPHOtH13na5jD2dbitY6KeezYb2qYdcmP62NZluDmcMW7Cts0wS4ez+zuR3KKsvyTifnJ5/F7GAFW23aOATedmeyReXeXN5VtQmD/YZdSN3GI9517shLW+zqZZc2m4CQwXau+3rRG+dQn7TNrPf66c72qeqpPBaTk2MzGTuLuc+WnPpu3hI1y5Lf7bWbmPepvUudjxN1jzptb0kXtviUAbBdpi1mvXNbroJAWxEopNxW5LrAc97/9DK+iIlhZ/CbHviwp2YygPYhZmjtuNQVSNm74DbUt4OafchFpe0ZySFDBwYgBKQMv5ZImdNTScqesz+xPYS9cy3DYSOZvbnsEW1XLOXYwhCR2GXLfs4deWVS1p5MynZp2tcLIXMwcuYmp/a1x4lYtpe0haN9o+0F7+AU+4G7j2ODtO2rzsmkDyQMXxG9/ez1Abqy4UYmZJ8789c+2ojeZYc9h77QkaMNy1UQaAsChZTbgloNP2PDe7srmU+0hyxDhpSRUCUpiwTsTYyo/Nu9fvIcZnOkLPJm0Fx2XGL08slajH7eM1y5Ng+QKrcZgDqQDyPKKNrM3mf+VifD6TPG18YRymqa9pUaVRcZlFF5D+fD8zan8DkjiiC0hcFVpntEsgwtw+1UKqfV2D2IjAw6mchDLhG0v9VJPuVWnrqTu4h2qYu8fjuRiSGvJGUyKydvrJGxVkcmZdMMiMNz6keo5Idz3sMYPsoRtWXsKuecfa4deS9pfzu5yKEA9pymH5+R0w+9O3TDdzkLQlYy+U6bs84zBpX7KcOAXvSJfNqRQw9E+Q6BESlnUoa/cvVPWCm7JYclY6zddgsTJSNFdTrExI5Rdg6TAbK3tl2h7LVsL3RTAXZ2c2ADfdtX24EYjn1UltOe6FM0DDOpdoc4uHxme1MHxIiOOW9ws7uaw0hMAxlXsKu86Fc/zKc2aS/ZtZMeleFveLlHFF/r2acaNpX7TfRCyvsN+s6v2HaV5jRFSgwXo2QbO/OL+ZxfkbK5TyfiOKrN1oaMhWgMcYs8EFklKSvTnLKj5USZ9tYVnahPatsJUdKjttRjcBALYyiV62ACJ8Iow37GCIkxFckgRKdDIXdHUppLtTWgIzLtl5sPO5eO5FhoF6NmK1Jyiv7VTQ5EoM2MNtnNpSIQhMRgm2d1jwgJ2SJiRtVcK4I2h+ukJRETrHxPblkCJwEx2vbnzhcSIg8ytV2oupyCI1q25WEmZXs/M+b2hGbsOQ4IgkyIS9sZ+EpSdkIQXMnn1CuHC1x22WWJKJxyhOBspSgKlnbNhl374YRwbD3qQt6wtHUr7B0OYf4a1i4Rpva7R0TpVCTPcwpEg/YTN0euHKcTIai8DSKCIhMnBL76kPbRr3uRGlLW3xCjep2ehKSk1B1hiSRbWsxWuUMUB8v0g/7rWM18vjkslC9ToR9yvhzgIfXsPqe1cVDoURvhQ8f2iHa6ligZRi7tQuDaYdtW2SbOSd6jnj7op3J/bnpkbDkFUvbaZy2Hfq6PaisM4UW/CNm2svp/c4eMdL71KDV2FgKFlDsL6f1cDyPKeCAdRtoxcTx1JClyRD4iZQYROTEwPkdw+ehG3yFSeyw7uQpBiSLyGcif+cxnkkE0z8mIM7ROZWKMlYkoRMmek8J1wASCY0DNMyKlHAmL+JQtmmbI1Y1URBq5PEfXMZieRfI58uZoiEoY4te85jWJQPJ5yjmKZsjzma3ktfDI2cYMNzkQLQeAUTSXyIiLvmBkcRUDSm7tE+VIB1emLEVl5NJOciE8bSK/CAyOMFcG/GCtTPfAiJODuC2+yunrHCkjQWd9c47IrmwEZzD7TMSLmDlRUrI5LQ0TR4dK0TP8LidwcYwcHciJyOfhahPHAnYcCuQDT/uHq5sToVzERT8w5yTkc8m1gZOWF6TpR/SnPLJZ5AZTsnIUOB3qy/fRgXleOMFiby6OGScO2cJGpCzNz4HiUGivvor4OGx0yOHi7Pm3vuGH86R+Tl8lKcPO544rtC6ADrTJ2NLfJk+enM5EdqJRvowhawl8LwshEwAvDiDs/J2xhCecOQ36FQezXPWDQCHlOtE1r14UIPJlUEQq0niMOaODaBCOiEGajqHw2+IfqW5H5/HsRS7IBvnmg9Cf//znp2hI1OcZ6Tuk5lzq5kiZcWegmpIyB8F3CMJ5tAwo4yRSY8x8r27GktycA0QqmhGlIgQGkSyeRTjSxUgQKTtfloEjN0LxnFSl6E7EyRgqX4pVG2CiPISJIN0rA5BJGcEpX1tFTpmUGWBkJD3L8MIEwTDaFjohHBEbgy4i00YEgbxFugy6exhk+CMvZLknUkZCiBLBIQ/ZAIuYpIFFhTnSQnpIAAEhJcTjfnWIDrUd4Yja6JTenS4EY84BkkPQ6oIxZyWTvggPbnTHiZARcL/fpgFgrGx6oVv30aH2IzXtVZYy9SOEzuGCHd23FC1XDmP16HdWenPctIu+tVlb9Ce6gbe68qI37dYn82lF6m+OlMlsPCD5fAa2+o0jRC3ToRxjrJKUYabvwFX/ggtZjTtOjKyGf9MRTPQLY5ZTUa76QaCQcp3oWnqYoRD9+bcUm8gJyTC8Ilb/ZsgYSytXc3QLIp8jElE2wrGRPHJj1Bg8UaeokhGRjjMfalX33pAyI8mAIn4pdQaZAURSIm9RFvIUpSFBxpWhPfvssxMhie7IhaTII03IeIq+kDIji+iQG6L2LMMqha3t0uHKVZ7I0DPwUq/vzcW2hpRFu4gJUYnKZCisyEV80pci0py+zsfTicIRmOwA2cnCMHMi6OORSBnpkhvZSZF7xpypNHI+A7eym8MPDkhZHdLkCNVnpi+QqakNJO5eJIwoyI6E/E0/CJ0T5T6LonxuwZ+2+14bYa9cZCtLoB1wJx9nw1QCfLTZvTIZMIG5lC8S83xrU7j6i6jbanW6Q3L6CScF+dJtJSkjPgu/9FX9gkx5XnxPpEw+5Ktv+62ve8YPZxZGdAbX5kiZA6ZPn3zyySn9D0dywMG0hZQ2Z48TJ3qn21o/1axOzGy7NLOQcrvAWP2FMIQMgYjHbylgxoXhzKuvEY75TREk48oY5KMSdRSEK2oUbSA1kR5jJ0VoLtA8GaOmDlFnJmXkgODNsYl2kblIGQFXpq/NWTJm0pVXX311msMT2SNOUQdD7RxWkR5D7VxVBCDlzDDm04OQhEu6HOlICyJYpMiQSusicThoK4LQdu3QZu8FN0fKIuXK9LX0POPJmaiMlEU9CEo5jKxIB0FI+XNsREx+ix5lH/KxknnuFwGaXkCO0q4tkTLc6YcTgJiRmdQnQuMUNF0wlUlZxJZJWVYDppwxbcnvLCMdnyM7UaPIW9vMyVsnIIpVjj6krFNOOSXp2hy3vkUOf9Mph0OmIK++9pu87tMvmp4AJBUPPxF0S+9z07e+wjmAp7I4cIhWtsJ3dM0pqCRljpB+yOkUuZIpE+CeSFldMkWySrJN9AVjjgXHlwNmSsLaiuZIWV+QCZA98bx+nqcFrIMwlshhaoNM+lhr2l/9VqhI2BoECim3BqUucA8jwbgzGAwCY4lgeemImPFCTFKyCFwKDmmJvFwWfYmUGDiGTToRKTNI0sgWCJmfQ9zmSkU9SAkJSu8yiDapYMgYWStlyfNIpEw2pL8nUs6pUlGecrQhb37CKUC86pbubkrKjJwoek+kjNBE6toh+kHGsOEU+BHtICJGWEReScoIBhEhCGng/EpOnouURoclwvW8+XtEIdNg9bEUr8VErY2UOVB0aY0AI28+FfE6exj5Vy44osumpOz1JK8UIV8pf79FcS4OEOdAVO23tmZShilS9l0lKSMUC6iQrayJ+82v5nlmkanXsNyHvEWIInTkxClw0Z8+xlGSNdjTsY55aIrCZXyUzTlDyFLEeQW07AV9IDhto3dTE5wLGMEtr7DOdYli6ck9ZMuvROU6OSMcW+2HPSdUm0wHGCOVZz6b0sjp6z2Rsj6kv9x///3JUSik3AUMbxuaUEi5DaDV4iMMMUOFYPI8oihFVCGCQ7DIw/uXeU7Z/QwMg4fUEWkm7xzxin4YQmUwdAyaNKHIlkFn1NQpWhQZ5FW2UsyeYzjzQq+mkfIjkTLCEmkytEgbmYjAzS0zlkhB9IKwzFe2hpRFZghEJsD8nmhZxIjAGUx1aQOsGFlRn0VXCKeSlBlquGofUnG/qF1UzAEybUB+xJQX1cFVBC8yVU+OYluTvtZOpIIAOSWiPlMMHCoE23THr6akTFccBW2QTUAMIjYLkkTQMgRSsbBB/n5bUd4cKSM82RLOF937TcccKM/AjPPmbw5Jvg8RqZdzglT1J5/BmwMp5Q8/+oVT5TvVHEMOEyz1K2XDM6/OFzW7HylyrpAop0tUL2NjOscqcPJwZJTBgTAWOEjktRJa1EqfiN7rc2SEOX1baPitb30r4WP86IuV8+D7SspsDpmUySFsyUmpRRtVZG5EoJBynfQExJojYWlShkqaUzQp7WaRi4iFgWdURbm+z/chYek4BtmcLxJgeJSLgBCASIrhtODJfYyiFCdyNt9mXlDdjBiDLxpg7KSf83w3Qkci5iRFJ1J5jKZ5X+SuTq8iIRBRmrSk6MfOSlLqDLr0tZW+jLMyRJ/kIDPDzfgjWhkBRlf6mrFmYDOZiqwYYFG/FKqFcqIgJGKlLKOYV1SbCsjvuOpO6jdXmuWCIdlgzeAjZVEkIw9nzgx5GXu/YSNCR9w5RS+7wQlBdJypytXXojQOAD1KvWov+ZSfo/rKbo6I8pwyncGWHkW76iGjtnEMyDJlypTUd0T2on1tRbCZfJCc1Dl5OUF5VbWykDA8kCLd61P6EmePrulLvRwruOR3wL1ilN8xRsz04v4cYVfuBIYc6ZIjkvUCy0xc+iO81S/7oz793A+s9EtztyJlz3ActSG/06+/kotOYMBZNd8LQzrNC+hgz5nhTFbuIgZ7pCybRCccAO3Nr5SpVz+HH2eCMyLDRA46N06k2U0f6HsyPE3fga4TM1YXzSykXBdqjhQdMF5SvYw648MYG9wWMHklCFmJtMzdIjmfSx8zNgyjqE3Eh2AZCelnBhzxWTgmOmWEzbfl93atSJVWZMyl7RhVRCoiRMgiMJ0QOfke0SIBsiJMRJNXFOctPT3LWJGHUSQLgyeSR6YMvQiXASWXMhhBhg/JiuZEHCJ0eHACpL9F2+b2pOpFZuap1YO0kYSIkTEmBzzIy6GQImcwK+cQ3Y+YlQUDBh0RISQ4IVvzvaJ4kS284SbVzIAjSQYeyZFRiluamdEWuYnmkQqHAYEqg8zKRwhwFe1LCzdduczhEY37HEmIPvUPssCQ0yMShK10skV2cORcwBqp+R5m+hDy5ngpk/wcJ9EcB4aTxqFRlygUDiJ17z+bxsj9TR8QyXoG7r7XXqunkZ6+ICUsxZ9fA8tDl7MmAyFazusJ8nfqtRrdgjT6Ur72yQzQI3y0QT1k5hh4jc1iMRF45QVvWQUErhyLxugYdohWf7RATjlNt2fljMDdmJHW5iSaStLf8poCuqA3488UBNz0YRkbCyplq+iaA5lXiNeJ+aqrZhZSriN1M555ZyrNNsAZD5+JFhC0aIJhY5x8LkrI7wn7Pi+C8TkCUKa0r0gw70zlMx49w4FgGD+E41kRh2dFhHkHrxwd+l50LYr1nPIZs1yWcpGuFCHZGUny+1xUw4jmE4jUjURyWZ7znfJ9p00citx2sqhfWT7P0WauB17Kd3++R2RmvhFxP/OZz0wyVV45I0BeZcOPDNpLdn8z6MpVJ9zpwW/t9z0HyHd55ydywlkEq+15xzNl5Pbnujzb3N7deUezHFXmncjy3t/aqA7fw0qdeaFRblOOHmGcI0UyIXL60o+yXsiurLyQy99Z1+6Dgf5RWa/6tB8eiA8R6w+iU2Rd2S6YZoyaknJuA71n/Wa8yace7ct9giz0o8/6vvJC8PSmLPohr3td2q2c5la75+yJNnK2tNmYyX1TXfBULp1pTy4bZnScx5F253f368h01VVTCynXlbpLY9sLASlgKWQpcZG9+VXRb3NbbbZXnfVYDrIVkZrbliWQGWjt9pv1iFdpc+0jUEi59nVYWrAfELA6WkpcqlO6EilLg5b3SdtXGaJ66XqpdVMSXhUrV0GgKyNQSLkra7e0rcMQyOl7aUZEbF45b5PYYZXWYcE5lS+tLN3bnkdp1iGcpck1gEAh5RpQUhGxIFAQKAgUBOoDgULK9aHn0sqCQEGgIFAQqAEECinXgJKKiAWBgkBBoCBQHwgUUq4PPZdWFgQKAgWBgkANIFBIuQaUVEQsCBQECgIFgfpAoJByfei5tLIgUBAoCBQEagCBQso1oKQiYkGgIFAQKAjUBwJdkpRtEWifY9vaNd12rz7UWputtEWh/YnzIfO12YoidUGgIFAQaDsCXZKU7cFrFyB7xDbdjL/tUJUnOxIBm3HYb9pJTfYFLkfTdSTapeyCQEGgWhHokqTs8IE77rgjnWiUN9KvVgUUuRoRcACGE3NEynbHKqRcekZBoCBQjwh0aVJ23JzTW8pV/Qg4ucdxjY72K6Rc/foqEhYECgIdg0CXJmXn25ZTezqm47R3qVLXzqgtpNzeyJbyCgIFgVpCoJByLWmrC8taSLkLK7c0rSBQEGg1AoWUWw1VubEjESik3JHolrILAgWBWkGgkHKtaKqLy1lIuYsruDSvIFAQaBUChZRbBVO5qaMRKKTc0QiX8gsCBYFaQKCQci1oqQ5kLKRcB0ouTSwIFARaRKCQcosQlRs6A4FMyvk95c6os9RRECgIFASqDYFCytWmkTqVBynfddddaYtN7yn7beOXsolInXaI0uyCQJ0iUEi5ThVfbc22zeaDDz4YtkjdtWtX2h7VXtiDBg2KAQMGpE1gunXrVki62hRX5CkIFATaFYFCyu0KZymsrQg4OGT79u2BnDdv3hwbN25Mvx0u4rIJjOgZQfvp2bNnW6sqzxUECgIFgapFoJBy1aqmfgUTKe/YsePfSNo2nE798l2PHj2iX79+MXDgwETUouhy8Ej99pfS8oJAV0KgkHI7aBOBiOhEe+ZBRXG1NBcqQtUGslcbucF0586diaD9iJ4dXpGjaCltaW7kjKSRtTbUEv7t0AVLEQWBgkAXQaCQ8j4q8uabb45zzz03rrrqqhTJHXzwwfHKV74y7Lu9NydUIZ7rrrsuBg8eHBMnTtyrZ/exCfHrX/86dISXvexlMX369DR3W40XghYpZ5LmCCFoP/7tc1F0TnHnKLpa21ONGBeZCgIFgf2LQCHlfcDfmc3vfe970znAxx13XCKDhQsXxrHHHhtPetKTEkH4DpkMHTo0Ea2/RaUWMPl87dq1KbpbuXJlvOMd74hDDjkkXvziF8fkyZMTAa1bty5FiO4XEWaC8azvROW+R0oIXSrXc8r1mTo9K3K0iMr36kNk5m9FlxyKG264Ic4888x0lrHnfe43edXrp9qiTxjA0k+ei84k7TP4az+9wMC8dImi96HDl0cLAgWBDkegkHIbIUYIH/vYx1KU/O53vztOPPHEZPQz8fn+m9/8Zlx55ZWJNBCeSPSXv/xlIPO3ve1tiUw/9alPpe+Q4re+9a1Euqeffnq8613viksvvTT++Mc/JvJ1DOVrX/vaRNqIxbOf//zn04plP0uXLo0nPOEJ8aIXvSiuv/76+PGPfxz3339/ItnXvOY1MWXKlPjkJz8ZRx11VDz1qU9N0bEo/1WvelXcdNNN8Yc//CHe+MY3poh52bJl8YpXvCIRO5k4GKecckoi5mq9chSd56Iro2iELYrOBC2CzlF0tTka1YpvkasgUBDoHAQKKbcRZ3Oaz33ucxOJfuELX4jLLrssERrjj/QOP/zwOP/88xNZ3n777XH33XfHd7/73fTZNddcE1/96ldTuhsp+hk9enR84AMfiDFjxsQLXvCCRIIXXnhh3HvvvSn6/sc//pHI/1nPelaKYhHN61//+rjiiiviiU98Ytx3332xePHi+NznPherVq1K0e+KFSviL3/5SzzqUY+KF77whfHOd74zHvOYxyRy5zCQ+eMf/3hcffXV8dOf/jT++7//O37+85+n+j784Q+nct7znvekdLx6RZy1cuUoOq/ohnWOoumIYyNrAEvtKlF0rWi2yFkQ6NoIFFJuo36R8jOe8YwUcSFlRPv73/8+RZxveMMb4slPfnIiPuSImP2cd955cdFFF6W546985Ssp2hWRIskzzjgjXvrSl8asWbPiP/7jP1K6G3G737PIGWm633dI2XOrV69OxIn4Rd2f/exnU8r5Zz/7WXIEkPVJJ50Ub37zmxPpP/axj02R87e//e34+9//nqJ9Mv7kJz9J/0bKyP2DH/xgivo5AuqsNVKuVGvTKDoTNB36t+8RdNNXrkoU3cbBUR4rCBQE2oxAIeU2Qme+FXlefPHFKS08b968RJwITwR96KGHJpJDZtLAP/zhD+P73/9+iqZFqN/4xjdSJCtlrJzHP/7xKUK2QOztb397IlukO3v27DjwwAPj61//eiJ7UWsmZXW53v/+96dU9Pve97740Ic+lFLeDzzwQIqKOQLDhg2LN73pTYloEbQIW+qbc0D2TMqiZul1O2t95CMfiUWLFqWI2f21TMpNVZxfucqr5vOKbgSdo2iRs3lo8+/+bX66XAWBgkBBoKMRKKS8DwiLNC30cs2dOzctrJKefstb3hLjx4+P//qv/4rjjz8+bYQhjSxFbEEX8jv66KPT55dcckn8z//8Tzz96U9P5Gce+JnPfGYi+be+9a0pnW3bSalsZI2UkaxI+eUvf3mK8hCoOWlR7Uc/+tH47W9/m0gawV9++eVp0RhyFXkjXERPdnPEyF762hw0uTwnwp8xY0aay5YB8Oyzn/3smkpft1atOYpumuZG1DB2IWXkLM0tmq61V95ai0W5ryBQENj/CBRS3gcdMNz//Oc/4ze/+U2KKhn4UaNGpdXT5ogtkkKCIt0lS5Ykkh07dmwivXvuuScRn+haGty875///OcUqU6YMCGV8ac//SnNGStTVG2uWvSLHJDIl770pVSnCFs5InGpZmnnX/ziF6ll5rzHjRsXL3nJS1I6W5oayVip7VnELrK2YA0pk8/c94IFC9J9d955Z5Jbvf7u6pdIOb9yhZSbvnJlLjqnuXMUXW3vdnd1HZX2FQS6MgKFlPdRuwy4VLF0swvZiW5FU4jYYikkysA7AYlB97n7rYxG7NLRnhM5m89l5EXadrEyn4wM1SNCdq/vEap7XUhb6tW9SBURcxLyimOycBL87XNzpQjF37feemsid2Ui5WnTpqX2mJc+55xzUtQtjf785z8/1V1PV+XGJfmVK/rywymCc+VctMxDiaLrqYeUthYE2h+BQsrtj2lNlSg6tzhNOt0isCFDhjwsP0IWrZ988slpIZo51nq99vTKVU5zc3AQMmcnR9L5EI16xay0uyBQENh7BAop7z1mXeoJkbx0t6jd60GVu1/53PfIGFmXxU7/Un1zr1zlKNoCsqZRtGxHiaK71NApjSkIdAgChZQ7BNZS6N4igOSk4KWJEZp0ut8+95tD8EjbZe7P15cqo2jyW/CXCTpv/5l3UquMovenzHurn3J/QaAg0DkIFFLuHJxLLS0ggJBtWoLM9kS+lSQm6qy8L5N2vgepV26p2fRv91Wez9z0b+JWPu/7/NOSMiv350bS+b1ov3MULXLOq7nzK1eFpFtCtnxfEOj6CNQ1KecFO6KXPa2gFen4MVdY0rcdNyAsarM6PEeSiE0EiqgyyeXac2Tqtyv/7b585ecr/678DCFXknpLJJ0JufKZSqIng7/1kUyuOcInw/bt9uhuPOkKOfvRr9xTeVZ03359o3v3brG7YXdq1+7du1L7d+3eFTt374xdu3emz3fu8vtf7VVHv14Don/vgVW3R3nH9ZpSckGg6yFQ16Ts3VyvNNl+0urk5i6LoLwj/LrXve7hfadrpRuIyrx3bJW2OeGZM2c+vFjL+9L2vPYu8mGHHRaTJk1KK4ld3pW2E9hBBx2UVowjGhHfLbfcksqyytjOYyNGjGg3ArDae/78+WnluvntyquRnBoJOJNw5Wf535WknIm6KSnviaTzHHEl0Vu8VVmvvyuJvfK7LJffDf5raGh0Fnbvit3+y/Lvjti1c1fjISLbtqV/d+vWEN0fOjyjZ68esaP75tjUbW1s2+386EYZMkHnsnbFLt7Iv2BqaIiDRx0eh46ZGT26lY1OamWMFjkLAk0RqGtStikGwkXOjktsLn3oneLvfOc7aVtMG4Tsr2iZ82DDDxuLeO+5pYsR/93vfpcOnvBONIJ+znOek3YbE6F5h9phGcgQIdtZzKYiNjmx6tqrUj6z05gI0HvPykPmCMV7y9599g50e1yZlL3SZbOUjk7lNiXt5v5u6gw0F31XEnOKaHftipUblsUDq+6PjVs3JFL9F7Fmr6IBc/tfd6xzAAAAIABJREFUNOzunkgcvfrdLbrF9oYtsalhTewIZ3S3Dl3PTh83N2ZPPDZ6du/VuofKXQWBgkDVIVB3pOz9YLtoIVcEZHMOO23ZsOPGG29MPwjhhBNOSJ/ZIxop2xbTKUM26bDblvtE184f9pkozzP+nRcseSdYRGn+08lNiB/xiTStbEayy5cvT2cwI3z1IkqRonIQqdOnkKD9tZGi7S4Rq++cDuX0KHJ5TlTrFCkRL7Kwb7YUvRXUttVEdn6ThbPhVCnvOGsj8nXClMhap1DXf/7nf6a6yGqbTu9JI2PliqTtRHbMMcekKJrToJ1IG8Fqp+1F3edwjizXnkZAZ5NyR4xEmK9dtyaWrF4U962+LVZsfLAxQn6IWEW5jRc6/tf/I9R8oeXdIQ7ekSLs1l6FlFuLVLmvIFDdCNQVKYsQnaJkBy4RmQgSodkfGhkhJxt42MVJ6tZe0va2tlOWFLdoEWEiKH87N9n+06JRO3EhPGR2wQUXpM1AbBLidSJkiKCRpTKli0Wq1157bSJc0ZWduBCZ75GZC2HbfhNhf/rTn057ZtsFzNaenACk7jAKddli08lStsPMm3wgUw6AdLRjI/37M5/5TNqHGzF/4hOfiKlTp6aDMLwOZVtQ7fPuMpxe/epXp+iak+E7hOt9ZfW6H2l7XgrcYRmia8Ts6EdtNj+s3fYBt7+39PmeIuCuQMp0Nv++u+POe++I3f22xsaGVbF+85poaOjW4VagkHKHQ1wqKAh0CgJ1RcqiT1tVIjlkZy9oUSSScoIS0rF7lc8Qln2kRdYiZVEowkbGImWRpU01kJWdrxC336JuJzQ5L1mUKDWO9KR5neBk/2rpZ4dIWOAj+kTO+fSmd7zjHWlVrqMW7aONrBwkYW5bWcp1VOMPfvCDRP7KRML2xBb5+l05J2se1LaZX/ziF1MkTBblIXzt4yD4jCPib1Etp8W/HSmJlJG5bTgROgLmREhtK8+8MvL3t9XT5P7rX/+a9uKW3vadDUg4DeRD2s1dXYWU77z79rjgz7+LYSOGxMjJg2PFpiWxY9f2lJruyKuQckeiW8ouCHQeAnVFyg5ecKSik5GkgZ3iJIWNsESFUsXIGUGcfvrpiWisjhVBIxdp5u9973uJ9Hx/6qmnBhK1n/TZZ5+diBkpIyXpYdGoOkS5yI8jgLSQsUhUOltZiI6jwGFA+g6xcNSiMhCa1Ln0NCdChO1exzQ6KlI5iB2BnnnmmWkv60zKCNmcuQhe+lh7/LaXteiZ4yH9jlxFsNo+ZcqUNKcs8pUFEHlnJ0UqXDpeyh8xczA4KJwVZcsEwINT4vznHPU7MMP3MM+LyZp28a5CynfNvzPO+tG3YsvWzXHqGSdHDNwWKzcs7fARXUnK3bv1iE1b18fmbRsbV2g3NET3Bu99d38obd4Q7mno1i25Cv7do3vPxs862HnocCBKBQWBGkegrkjZamMRLuJ63vOel6JV0R2icywickOi0tpWWyNTZCwqdeLS3/72t0SaiF0EaaWwyNUiMMcfIiMEjZAQqhOWzLsiTmSIdPMe0gjRoq3jjjsupXuleqV3pcalodWvDNEwUuZQKId8p512WoruzzrrrBSBSoEjUYdYSINnUpZ6R94ibxG09Lg2qlvKXhrcIq93vetdaT7cKVXS0tLx6lIeUoaHdiJ9c8zOXBbFI3FRu/Q20vWs+/KqduXLNIjMtcu+2iJo8+Ai8sqouauQ8n0L743v//i7cd1N18QpJ50WU488JFZtXxJbtm3u0MVrlaS8fee2uPbev8aNC66IHTu3p3oRrh+Xe5Fwek87fNczevXoHT2794we3XulhWL+3bNH7+jVvXf6rG+vftGv98Do27N/9O3VP32P5P0kwm/o3qHtq3E7W8QvCLQagboiZQSLVJGmeU4HL4gmzRUjIpGudKx3Zi3iQqiXXnppIj8rtaVwRZjSuCLQH/3oRynaFekiH2TlM3O/omukjEQt0kLKT3nKU5IzYF5W9OokJvPBFp0haBGwiB0pcxIcq4iUlWWeGeEhMilz5OrsZNGr+XEpcETO4fCdSFbUKrL3tyhflCpKtvhI/fBwcQiULepVl/S1+WEL3ZxgRR6fO/HKq1Xa6jhIkTKiR6jkRf4+gwEnAmmLsv1WL5mUo42yBtLi+eoKpIwMH1i2MK68/vK46aYbY/OGrTH36DkxZFzfWL5+SXo9qqOuSlLesn1TXHjjz+KSm38VW7Zvjm5pTjvHwA+t/G5Ia7+TOImaG7olUkWu3TPZiqC72UmteyLqXj36JDLu3bNv9O3ZL/r0aiToPoi6J9JufE8aeTf+HhD9eg1MhF+ugkBBoHUI1BUpIyNkg2gt8LLyGAEjy3zmsfdwfWdVMcK57bbbUnRnztd3VhkjVZdVyEgdKSJmc6bKd5+o0kIvDoDI1rzvr371q7QwymItRyJKSatfZCt1bnGUuWNkKDKX/ragS90IVSobkSNJpIj8lYMkRcWiYWRncZm2Ksv3+VxgRlemwAlU2mQFuShXSvqoo45KJMnZyK9QKYPzIpqXUUD82ol8RbvagdAtoIMF3JQDAyvDpeGVL8PgcxG9MpA/HCpfL6sFUjY3vG3H1ti6fXNs3bElLeJau2lVrN+yOtZvWh3rt6yNdZvXxLqNa2Jgt5Gx/O4N0bfngJgxd2ps6bk21m5e3WHp4UpS3rpjc/zxhp/GRTf+IhB0Wmi2x4XcD23Asgd7UblO/OHXuLy4JUJ+iLS7d+8R3RsaU+C9e/RJRI2YkfKA3oOif5/B0a9X/xjQZ3AM6js0BvcbHgP6DEok37tnn+jRrfl1Bq0zYeWugkDXQqCuSJnqRGuIUOoOiSAsu3X5O5/449/Ixm+Ek+9BUhZE5cMFELlLOQgHqbkXUfu330jJv5XlfpFufmVJWV5t8nw+q9hnyMo96va9570rnOVzb5bdPVLRFnxxCqxyllZ3KYtcle/SaisZyKY8eOTP3Jd3OcvPuDfL5jvykC/LpJ78HNInd8bAc76DQZ5L9h3Zmy74qjZSTm3atjHWbFoRK9YviTWbViYCXrd5dazesCw2bF0f23ZsTmlpJIioRcqiYT9jh0yIMQ1TY+nda2LCxIkxfuqYWLVlSWzdsbVDiPnfSXlLXPgQKW/evumhSLl9DVd6XSvxecWLW17/aohUn4g7/X5ovlqkjbBTlN2rfwzsMzgG9xsWQweMiiH9RsTAvkNicN+hMbT/qETYOdXevlKX0goC1Y9A3ZFy9atk7yWUVrb4yqpuEam53Vq79icpI9T1Wxqj3tUbl8fqjSvS77WbG19pWrtxxUMkvCV27NyWiHXnrh0PQ/zv66ob/+rZo2dMHT03di0dGBtXbY1Zc2ZEr+G7Y0UHLfrqbFJ+5P71EFE/RNqV9z68SUq37tHroZQ4ohZJ9+8zKEXSjT/DYmj/ETFi0AHptzS4e/JitVrr30XegkBrESik3Fqkqvg+0a4ItOney1Us8v8TrbNI2e5a23ZuTcS7dM3CNNcr8l2+/oH02cat61PKd8u2Tf+KfG11aVvLxg00W7WgyarnYQNGxZQhR8WS29fF4IFD4/C5h8b6XSti45b1rSpjb/RXXaTcsuQ50s5xdiOu3aK7E8EeWnhmzlrKe0i/4YmYRw46MEYOHBsjBo1N2Fp0JnVeVoy3jHe5o3YQKKRcO7rq0pJ2FClv27EtNmxZEys3PBgr1y+NFesfTAS8asPylJoWCUtDi36tVM7Xw4Y+rYtqyzvGjYdpHDxqRgzZMikevHdVHDZtSoyYNDiWbVicIu22ldt8N5Aqnj5uXsyacExKp3d0+rojOuO/UuJKb6TrxtXhjQvNevfsl1LbjfPSw2L4wDExetC4GDnogBg5aGz63Dx1uQoCtYxAIeVa1l4Xkr29SBnZbdq2IVZtWBYPrlkYD6y+L5aveyARsflg88R+EHDa2/qhFVDpFKg2ke+elSC6Nn86Y/RxsXFBt9i+eXfMmHt47Oq/Oc1Rt2d95mBnjJsXM8cfFVtqlJT3hGTj+oZM0l67bpyztkjMKm+p7hEDx8SIgWNjzJDxMXrwuBg+YHQM7Ds0evbo1a44d6EhV5pSpQgUUq5SxdSbWPtCytt2bElpaOnoZeseiAdW3x/L1y2ONRtXpLlikeP2HdtTCrqRCFuXgm4PHUhjHzB0UkzoMysW3rYyxowaHYfOnhRrdiyLzVutjG5LFP7vkiEtkeSM8fMSMXc1Um5OD5Xp7/zetVevEkn3GxbD+o+KMUMmxOjBB8aYwRMSWUuFl6sgUO0IFFKuAg1ZQe0daK9f2SXMntpWROfLa0peK8qrxq1+Pvroo9OrWXmPbYr03rVXlSz2svLZPtzeK/b+s9eYqvnaG1LesWtHbNyyLlZvXBYLV86Pxavnp6jYKukNW9bGpq0bYvuOreHQRFdr54E7Ah/k4d3eKaOOjG4rh8TKxeti1pyZMejAPil6b3r8Y1tkqEdSbopT06yH96v7pHenB8aw/iPjgKEHxfgRh8SBQw+KUYMPSGdPl1R3W3pbeaajESik3NEIt6J8B0B8/OMfT+/32nwjbwCSH7WdppOtkLL9ue0e9oIXvODh15/suW1Tk/yak805vM9su0zvJXvPuHKjjlaI1Om3tETKIk7p5yVrFsSCFXfF4lXzY9m6xbFi/dIUDXt/OK+I3p8k3GxUt3tXDO4/LKYNPz6W3rExRbWzj54em3usiXWbHFixb9FyIeXmu6s+wy0z346ARcoI2kKxMYPHx/jhByeS9nd5BavTh3ypcA8IFFLez13DwRB5O8rrrrsubZOJVCsPlVixYkXaGQvpeifZFptOh3ra056WImCHR4iMbWLiBCfHK1LsEUcckd5dtkvZvhr+joYpk/IBYw9Im6jIMnvfVwp66dpFsWDlXbFwxd3x4NqFaS9pkTIiFok+vFfVPpJbx7WxccnSwaOmxYidh8SCO5bGwYccnN5dXr5pUWzbvm2f9FNIuSXN7U7nUue+0qN7jxQp28TE/PP44YfEhBGHxrhhB8XgfiPKDmQtwVm+71AECil3KLyPXDiSdZCFHcbsKvblL385nvSkJyVitjVm0ws5O6hCxCyytpe0TUkQNTJOexw/tMmIDUQQsu098+Yl+7GpLVb9MCkfcED0G9Q7Fq68J/3ct+z2WLL2/rRaGhFv37UtpXyrLRpuqYEIoU/PvjFt9DGxdXGv2LR2W8yeNzO6D9mxzwdWNE/KP4uLbvx5dNTmIS21t5q/b5yPbpzaECEj6KEDRqa5Z9HzpFFTUwRthXeJoKtZk11TtkLK+1GvNv1wCIRjIR0IYa9r88F25XKqVOU2lMR0ZrOoWiTtfOR8brJoW+obWTuhym97cnseaTs0wvnQCLtarw3rN8Rdd98Z62JpLN50V9y7/Lb0+tKGzWvTe8WuWiPipliL/EVmBw+YEwtuXh7Dhg6PGUdNjbW7lsfGzW1/d7kpKXNc/nTjL+KP1/8krURv3Pu6XM0hkFd2NxJ0z7RQbPjAxkVik0YcFgeNmhZjh05MO5CVqyDQGQgUUu4MlPdQh32xHRph60rpZ6dYSd1KR1vwJZK2O5ctKhHtW97ylrQYzJaayLuStN1rb2zz0/aVtre19LWdvpCyoyarebHXhg0b49bbb4q/3n9e3LPmhti8fUNNRsSP1J1EaBYgHTpqVvRcPSKWLVwbM2fPiOETB6R3l21skg+J2Jtu2ZSUd+7eERfdeG5ccP2P0mYohZRbh2ZeLNa4mrtHDOwzJEYNHhcTR0yJg0dPS2lur12VAzZah2e5q20IFFJuG27t8pQjG/MhD/4tfe0gCkRtly6nLTkq0YpqEbCTnJrub50FcbjEd77znbSoS1TsuEfnFzv9ymEXjpu0Urtar40bNsZNt90QF9z+vViw8fZ2fmO4elrN8A/sOzimjzwuVt2zPXZu3x1HHjMrdvbdlFL0bZn7L6Tc/vrNKW7vRFvFPaT/8Bg7ZGIcOmZmTD3gyBQ9+7xcBYH2RqCQcnsj2sbynCyFjE866aR0VrPXmRxz6MhIr0ghbCdB5bOPHeqQLwdPWIHt1SqLv7xO5YxoB0g4BAM5I/vKZ9ooZoc91kjKN8Yf7jg7Fmy4LW0W0VUvBn/SyMNibMPUuPeWB2PSxElxyKyJsXzzojadu1xIuWN7Sl7FbX7ZoRnjhk+Og0fPiINHT4/xww5O70WXbETH6qCeSi+kXCXaRqxSztLX5oo/+clPpnSz16OsqnaMI4J1nKSjGSsjKvteS2tbZe0caPPIjl90dKTTrqZMmVL1h1TUGylLgR4+el7sXDog1i3fFLPnzIy+o7rH8g17/+5yIeXOGsRWce9Oh2L07z0o7SJm1fbUA+YkgvZ3IefO0kXXraeQchXqFvlaTS0N7afpMYdVKPI+i1RPpAwsi74Y8cOGHB2Lb10T/fv2jyOPnRXrG1bG2o2r9iqNXUh5n7vfXhVQuXrb+89Osjpo5NSU1p4ydlaad7Zfd7kKAm1BoJByW1Dr4GfMJ1u4ZSFXW+YYO1i8Dim+3kiZYbd/85TRs6P/xrGx6K5lMW3GtBh7yPBYumFR7Ni1vdV7NhdS7pAu2apCHz53vEfvGD5gVIqYDz9wTkweNS0dluEUq3IVBPYGgULKe4NWubfDEKg3UgYkg96/z8CYNurYWHfvrti8bmvMOfaI6DZkRzpQo7VXIeXWItVx92VyNi3hWEkrtacdODcOHjM9vfNc3nfuOOy7WsmFlLuaRmu0PfVIyjmNbV5yQq8Zcc8ND6T1A9PnHRYrtz0Qm7ZsbFWmpJBy9XT6/FqV/c6H9B8ZE4YfEkdOelRMH3dUIutyFQRaQqCQcksIle87BYF6JWVp7LToa8y8iOWDYuUD62L2nFnpwIql6xa26t3lQsqd0kX3spLdsWv37vS+86iBB6aoedbE42LSyKlpp7ByFQT2hEAh5dI3qgKBeiXlnMYeOmBETB9xfCy7c2N0a+gRc46dHZu7r45VG1e0OLdcSLkqunCzQuQjJvv26pd2CbMY7MiDToxJI6aUU6qqV237VbJCyvsV/lJ5RqCeSTljMGXMrBiyfVLcd+uSOPTQQ2LS9ANj2cZFsXX7lkdMYzdPyr+IC67/cdnRq0qGWJpzbojo32tg2lt7zkEnxoxxR8eoQQeEDUrKVRDICBRSLn2hKhCod1IWUfXt1T9mjDkuNt7fLdat2hBzjjkyeg2PdE70I11NSXnX7p1x0U3nxu+vO6eQclX07n8JQVdelxo2cHQcOnpmzJpwbEwff1Ta0rNcBQEIFFIu/aAqEKh3UqYE7y47PvCgfkfGvTcuicGDh8YRx05PB1Zs2Lxuj9FyU1KOhoa4+OZfxm/++f3YsGVt2dCiKnp4pRCNm5D07NE7nes856BHp8Vg9tiul1cgq04lVSRQIeUqUkY9i1JIufG8X6t2p46ZGz3XjIgH7l0eM2dNj1GTh8aD6xfGjp3Nv7vclJTt6HbxzefFr685K9ZvWZPehy5X9SGQz3ce2HdIHDb2iDh+ymPTe86D+g6tPmGLRJ2GQCHlToO6VPRICBRSbkQHwQ7uPywdWLHy7q2xbcuOOOr4ubGr36Z0lGVzp0gVUq7tsWVvbTuD2VN7zqQT4+hDTovhA0aXd5trW61tlr7Lk7JjD8tV/Qhs3LApbr79hvjDHd/v8gdStKQNJHvImOkxOg6Lu29cGBMnToqpRx4cyzYvjM1bN/2/FGch5ZYQrf7vc9Q8tP/ImD5uXsw96KSYPv7olDkpV30h0CVJefXq1XHLLbfEqFGjonv3krprTZc2l9W9oftDBr+h089o2r59eyxZtiguvu/Hcf/6W7v0KVEt6QPJ9u3dLy362rK4Vyx/YFXMPWZODDygdyxdtyh279r1b0UUUm4J0dr5Ps81Tx51eJx0+JPjyEknpAWA5aofBLokKTuycOFCGy/sKgsnWtGXHepur+X5S2+L1RuXxc7d/270W1HEPt/SEBFbd2yJO9dcEyu3LN7n8mq9ACnNMUPGxyGD5sV9Ny6Lfn37x1EnzIkN3RxYsfLf0tgMuQ1IZo4/KqaNmxvd0kKvMqdcq30grdDu3iNtz3nClDPjyIMeFaMGHVirzSly7yUCXZKUkbHjDP0uV8sIbNuxJW5Y8I/4622/i+XrFqediDr9ajCfuiu27dwcO3Zv7/Tqq6/CxldnDhszJ/ptHBsL7lwSUw8/PMYfNjqWblwY27ZvfdjhZMT79OwTMyccE4cfcET6vJBy9Wl0byRqTGd3S4dc2GzkpKlPjHHDD96bIsq9NYpAlyTlGtXFfhF7/Za1cc38v8Rfb/9tLFxxd2zfua3ZxUSdIZxoufGVED/lsh57QJ/BMXP0CbH2vp2xfs2mmHfc3Og+ZHssX/evd5cTKffqGzPHH11IuUt1G69ORQzsOzhmTTguTp72lDhk9PSy2UiX0vH/b0wh5S6u4Edq3sr1D8Y/7vpTXHbnhfHgmgXplRyp7HJVDwKyBweNOjzG9ZwZd9+wIEaPGh2zjpkeq7YtifWb1yYnppBy9eirIyRpzIT0jWnj5sVjZj07Dh0zs6zM7gigq6TMQspVoojOFsMuUf9762/j8rsujJUblqbqCyF3thZaro+j1Ltn35gx9pjY8WD/eOD+pXH00UfF8EmDYvGae9O7y1bllUi5ZSxr+Y702lTPvmll9ukznpH20C7HQdayRvcseyHlrqnXR2wVEv7LLb+Oy+78Q6zeuKIOEaitJtvpa9TgA2LKkKNj0S0ro3v0jGNPPCq29FoXqzYsTSnOQsq1pdO2SJsctB59YuoBc+Kxs5+dNhwpxNwWJKv7mULK1a2fdpdu7aZVcemt56dFXas3Lm/38kuBHYOANPWUMbNj8NYJMf+WhTF58iFx2BGTY/nmRbFp64bo06tfmVPuGOirqlSp7N49+8ThB86Jkw9/ckpp23ikXF0HgULKXUeXLbZk49Z1cdmdf4yLbjw3VlgoVKaPW8SsWm4QJfXvPbDxwIoF3WL5g6vi6OOOigFjesSSNQtSirss9KoWbXW0HLZj7R2HjJkRZ8x8Vlp136Nb2WSko1HvrPILKXcW0vu5ni3bN8Xld14YF9/8q1iy5v50+EGZQ97PStnL6ulswohD4qC+R8bd1y+KQYMGx7wTjoh1u5fFlm1bYtZDr0TZ6/rSW86P8675bqzbvKrsfb2XONfC7fnd9KkHzoknHPnCOGzs7FoQu8jYCgQKKbcCpFq/ZdeunXH1/Evjd9f+MBatml9WWdeoQkXLNgmZPvbo6LZqaNx7x8I44ojZMe6w0bFq89KYOvaIOPzAxnnGv9z66/jVVd+JtZtWRrduZVe7GlX5I4rduOq+Xxwx8fh40pyXxIHDDuqKzay7NhVSrgOV37nkxjjv6u/GnUuuj527d5YIuYZ1zhAPGzAqpg4/Oh64dW1s37ozTnj0cdFraEOMHTI+ph4wu5ByDet3b0XXH/r3HhQnHPbYeNwRzw97Z5erthEopFzb+mtReicL/erqb8e18/8WW3dsKhtztIhYbdxgE4mRuw6Nu29aGOPHj4+5xx4ZB4w+MMYNnRw9uvcskXJtqLGdpOSojYnHzX5uPGrqE9I7zeWqXQQKKdeu7lqUfOPW9fHnm86Ni2/5VazbtLrsA94iYrVxg3dW+/UZEDPHnhDbHugdixcsieOPOz5OPP7kGDpgeJpDLunr2tBle0hpWoPOJ444NB5/5AvSCVPdGrq1R9GljP2AQCHl/QB6Z1S5c9eOuPLui+M3/zw7lq5dWCLkzgC9E+tAzOYQpww+Ou69cUmaa37mU54bh04+LDlfhZQ7URlVUBVitgJ72oFz4jnHvSEOHDa5CqQqIrQFgULKbUGtBp5ZtOqe+MllX4nbl1wXCLqstK4Bpe2FiI3HNTLCR0Xf9aNjwV1L4qQTTo3TT3psOq60kPJegNlFbtUnBvQZFKfNeHqcOft55cjHGtVrIeUaVdwjib11+5a44Pofx8W3/DI2bFlbCLkL6liTRMuD+w+PaSOOjd0r+sfkcVPi5BNPi149exVS7qI6b7lZDTFu2EHxrGNeG7MmHtfy7eWOqkOgkHLVqWTfBbp10TXx0398NRauuofl3vcCSwlVi4C05eSR02LmiBNj2oHzYvKkQ6Jnj7LQq2oV1sGC5feX500+OZ55zGvSSv1y1RYChZRrS18tSmtx17lXfjMuv/OPIWJuPAqxXF0Vgfyu6rxJJ8djZz0nxo2YXOaUu6qyW92u3enVKK9InTr9aWV/7FbjVh03FlKuDj20mxTX3ve3OPeKb6Zdu8pVHwjY6WvM4PFp5e1xh56R9kIuc8r1ofvmW7k7Ghq6x5Qxs+IlJ70jxg6ZUM9g1FzbCynXnMr2LLD54x9f/uX45z2XxtadW8tcchfS7SM1pfGVmG4xa8KxaWenyaOnxf/e+ps476rvxJqyo1ed9IJ/b6YMyqC+Q+NJc1/yULRcdnWrlY5QSLlWNNUKOW9acGX8+PIvxoNrFpRXoFqBV1e6RbQ8oPegOHXGU+P0Gc+MGxdckbbZdLRj2WazK2m6dW1pfEWqR8yccGy85NFvjyH9RrTuwXLXfkegkPJ+V0H7CLBj57b49T+/Hxff/Mt0lF+ZS24fXGupFMR80Mip8ZR5L42NWzfEr685K5atXVxIuZaU2I6yIubRg8el95bnTDqxHUsuRXUkAoWUOxLdTixbdPyDv3027njg+ti1e2eJlDsR+2qpKp+1O3fySTGg9+C4Zv6lsXLDsrK7U7UoqJPlQMp9evSN46c8Np57/JvSBjPlqn4ECilXv45aJeHf7/hD/PLKb8XqjctLlNwqxLrmTQzxgD6Do3ePPrFh89rYuqOswO+amm5tqxrScZ8vffQ746BRU1v7ULlvPyJQSHk/gt9eVW/bsTV+9PcvxBV3X9RohKO8BtVe2NZiOTYV8Xa6KYzSF2r9WSE8AAAgAElEQVRRg+0nc1rw1W9YPHnuS9JOX6U/tB+2HVVSIeWOQrYTy31g9X1x1l8+EfOX3hq7Y1dJXXci9qWqgkA1I5CnNI6fcmY89/g3RO8e5QSpatYX2QopV7uGWiGfd5N/ctmXY/m6B0rquhV4lVsKAvWCQD5BauoBR8QrTnlvDC87fFW96gspV72KWhJwd1x883lx/jVnxbrNq8uinpbgKt8XBOoOgd0xZsiEeOlJ74rDxs6uu9bXWoMLKdeaxprIu2Pn9vjV1d+OS285PzZv21Qi5RrXZxG/INDeCEhhD+w7JJ4y72Vx+oxntHfxpbx2RqCQcjsD2tnFbd62Mc7+66fj2nv/Gtt3bisLOTpbAaW+gkCVI9A4r9w3Hj31CfGCR72lyqUt4hVSrvE+sHbzqvj6RR+KO5fckI7yK1dBoCBQEKhEoHF3r55x1OST49Wnf6A47lXePQopV7mCWhJv6bpF8dUL3x8LV97d0q3l+4JAQaAOEUDK3bv1iCMnPipee8aH0vab5apeBAopV69uWiXZ4tX3pkh58ar5rbq/3FQQKAjUFwKJlBu6p32wX3PaB6Jvr/71BUCNtbaQco0prKm43lH+2kUfLKRc43os4hcEOgqB/FrU9HHz4tWnvj8t+ipX9SJQSLl6ddMqyQoptwqmclNBoG4RyKR8+AFHxitPfW8M7T+ybrGohYYXUq4FLT2CjCV9XeMKLOIXBDocgd3R0NAtpoydHa885b0xYuCYDq+xVNB2BAoptx27qnhyyZoF8bU/vT8WrbqnbK9ZFRopQhQEqguBPKc8ffzRKX09oM+g6hKwSPNvCBRSrvEOsXrjivjGRR+Mu5beXF6JqnFdFvELAh2BQH4lat7kk9JCL1FzuaoXgULK1aubVkm2dfvm+OHfPxdX3X1JbNu5tbyD2CrUyk0FgfpB4OHNQw5/QrzghLJ5SLVrvpBytWuoBfl27d4Z5199Vlx007mxeduG4gXXuD6L+AWB9kYAKTtj+wlzXhiPm/289i6+lNfOCBRSbmdA90dxl9xyfpx/zXdj3aZVhZT3hwJKnQWBKkbATn9D+o+M5x3/pjjmkNOqWNIiGgQKKXeBfnDjgivix5d9MR5cs7AcSNEF9FmaUBBoTwREymOHTohXnfq+mDxqWnsWXcrqAAQKKXcAqJ1ZJC944cr5cc7fPxt3L73locVeDZ0pQqmrIFAQqFIEELItNqePmxsvP/ndMaT/iCqVtIiVESikXON9YfuObbFi3YPxhxt+FFfdc0ls2b65RMs1rtMifkGgvRDgtPfrNTBOnf60eNysF0T/fgPaq+hSTgchUEi5g4DtrGK37dgady26Oe5bdXv8+eZzY/XG5YWUOwv8Uk9BoMoR8DrUyAFj43EzXhyHjpwd4w+cUOUSF/EKKdd4H+AJ//XmP8au3Tvi8nv+GPOX3Ro7d+8or0bVuF6L+AWBfUUgv588afjhcfSYx8eoIWPjiOlz97XY8nwHI1BIuYMB7oziL77+17Fu0+pYt31FXD3/0tiwZW2JljsD+FJHQaCKETCf3L/PwJh9wInRd8PomHX4kTF72pwqlriIBoFCyl2gH1x5+6Xx91sujEPGHx5X3ntRLFl9fxdoVWlCQaAgsC8INDQ0xAFDJ8XsEafETf+8LV70zFfEoQcdti9Flmc7AYFCyp0AckdXcev918Y5l3wl5k45IZZuvD9uXHhFbNm+qaSwOxr4Un5BoEoRSFFy7wExZ+IpEcsHxrU3XhMfeOvHYvTIsVUqcRErI1BIuQv0hcUr7ouv/vbDMXTgiJh58Ly4/O4/xKJV88PALFdBoCBQfwiIkscNmxxHjjw9fnP+72JA//7x0Xd9NgYPKmcpV3tvKKRc7RpqhXxrN66KL53//pj/4O3x5ONeFBt2rIor7vlzbNy6rkTLrcCv3FIQ6EoINM4lD4ojxz86NtwXcc65Z8UTT39avOfNH4levXp3paZ2ybYUUu4Cat22fUt88fz3x1V3/CUOGzc7Tj7y8XHF/D/FvctuC3tjR5TNRLqAmksTCgKtQGB3NES3mDDi0Dhi5Knxo3N+FLffc0u88vlviDe/4h1lAWgrENzftxRS3t8aaKf6v/67j8bfbrogdu7aGU867oXRq2+PuPyuC2PNphUlWm4njEsxBYFqR0CUPKjfkDhq4umx7r6d8bWzvxD9+g2IN77sbfGSZ72q2sUv8pXV112nD/zk0q/FH6/5eazbtCYmjT4sHn/sc+K2B6+OmxdeFTYYMcdUroJAQaDrIoCQe/XoFdMOnBeHDDgqvn/O2fHPm66MCQdMjLe/7n0phV2u6kegRMrVr6NWSXjB1T+LX/7tO7Fm46ro3tA9Tpr5+Jg8/rD4xz1/ikWr7imLvlqFYrmpIFC7CDQ0dEuLu+aMPTWu+tt18asLfhq7du+KyRMPjQ+89eNx/LwTa7dxdSR5IeUuouzLb70ovn/R52PluqVpDnlAn4Fx5lHPiW69dseV8/8cqzYs6yItLc0oCBQE/j8Cu2P4wDFx7KTHxoN3rY2zfvLNWLdhbXTv1j0OP3RGfPzdn4tph84swNUAAoWUa0BJrRHxpnuviq//7mOxbM2idKbyzp07Ytzwg+L0eU+PZZsWxPX3XxYbtq4t88utAbPcUxCoIQRsp9m3V/+YM+HRMSoOjW9//2tx6903R88ePdN4P2LG3PjiR75V3lGuEZ0WUq4RRbUk5t0P3Bpf+fUHY9GKexvnj3dHSllPmzg3jp9xWtyx7Lq4ZfHVsW3HlkLMLYFZvi8I1AgCaX/r7j1jypjZMW3o8XHeeefH3668JNmAdGxj9x7xqKNPiq989LvRu3efGmlVfYtZSLmL6H/JqgXxld98KO5afHPj/PFDpCyVfcL0M+KwSTPj2gX/G/cuvz127ioHVnQRtZdm1DECCLlbmkc+OI4ef0bcfM2d8YNffDd27Nz+MCn36d0nHn/aU+Kj7/xs9OjRo47Rqp2mF1KuHV09oqQr1y2Lb/z+Y3HjvVf+i3R3R+zatSt69ewbZ8x9WgwdOixuWPD3WLjqnkLMXUTvpRn1iUAm5NGDx8eRB54Uq+/fEuf88nuxZOni6N69ewKFcz6g38B4/tNeEm97zXuiW7du9QlWjbW6kHKNKWxP4m7cvC6+c+Gn4orbLontO7ZVpLAjdu7eGSMHj43HzH169B/QL66+99JYsOLORMxlY5Eu0gFKM+oGgUTI0RCjh4yPIxIhb46fnndOLHpwQVrYlS8rr4cOGhavfdGb42XPfW15LbJGekgh5RpRVEtiSllZfX3JDb+Jrds2p8VejSnsxicN0PEjD47HzHt6NPTcHVfPvzgWrry7EHNLwJbvCwJVhABCtnhr9OBxMWf8KbFh8Y744S++FwseuC96dP/39LQs2cjho+Kdr/9APPXMZ1VRK4ooj4RAIeUu0j8M1p/95Rv/1953QMd1nWd+AKY3DHojCkGAJNhEUiIpUlYvtmLZiiU7sjfy2o5iW7vZ+HhXXnvT1smJ9yQ5jvZsEp9NctI28UayNk5kq1BWISWREqvYQRFEIUAQvQ8wve7575s382YwAGcIYDDz8D+eOcCAb96797t33ne/v10cPPUTuH3OeaRM3BwOh1Bf2YwHdn0WRqMeJ68dEoo5yD5mlcwC7oaaEZAJubK4FrfXPwDfWBH++af/iO6+DhHQlXwQKddW1eH3v/MnuP/Aw2qGRlV9Y1JW0XC+dvIFvPzB38PhnkkwXwv/UrSfRMwNlRvw8O1PoEATwqnew2JHKUqh4qpfKpoM3BWVISDVtCY31O0N9yMwocMLP/0xOnrahck61XeXfMotTRvF7lC7t+9RGR7q7Q6TsorG9uilX+CFd3+EccfIgqQsCDoSQXXJOty745dgNOtx9vrRmCmbiVlFE4K7ogoERGpTYRFqSxqxq+FehKeN+KeX/g6XOy8uSsgU2LVr2x784Lt/ig1NrarAYi10gklZRaP88fWz+Js3/ljkKsvSWPYpJ+ysTFHZkbAg5vt3PgaTxYiPh06hd6wD3oCbg79UNCe4K/mNABGytkiH+vIN2Fl3DzzjEfzrqy/hXPtp4aJaaBEt5yjfteceQcrVlbX5DcQaaj2TsooGmxTy/3r5d9A1cClW6zolKUf7TF/cclsVHtz1OCrLq9ExfAYdQ2cx65mOnsGbWKhoenBX8g4BqtRlQUvVNmwqvx0D3eP4l1deRN9Aj8hPXsyqJchcq8Oj938Gf/jdH8JoMOVd79dqg5mUVTTyLu8s/uxn/x0Xr50QWzgKtSzVERFHglqO/oF8zBZjMfa13Y/NjdsxMteHC/3HMOEcEcROkZ58MAKMQPYQoIAuOoqNpdi2bi8azFtx4Ww7Xn7jJYxPjqJwAR+ysoVkCTPojXjyl76I7/+XP+J4kewN35LvxKS8ZAhz5wIURf0Pb/4Q7188CC+lRRGh3oSUqfVEzGQi29lyAHvb7sG0dwTtg6cwON2LYFCqDsQHI8AIrDwCtBAm0i2zVmF73Z2o0mzAocOH8Iv3X4XL7ZyX9rRQi4iUrWYb/v3nfx3f/vr3Vr7hfIdlQ4BJedmgXP0L0Rf6lRM/xs+O/SPmKAIb0VzlRZSy3OpIJCx8yY1Vrbh3x6Mwmg24OHAc10Y/hsfvEjVGWDWv/hhzC9SKQETUFNBrjagv24C26j0omDPiF28fxAen30cg4BNkne5Bz4LKsipByJ9/7N+l+zE+LwcQYFLOgUFYziYcv/IO/s9b/1Ns4ShIWURbS3dIZb6OkzI9FCJCNdeUNuCubQ9jXXUDusYuonPkAqZd48IkzsS8nKPF12IE6Hsp1bAuNpWhtWo7Wkp3YrR/Cv/22ku48PE5UbM6Y2tVJCL2Uf7B9/4Ut+/YxzDnEQJMynk0WOk0tWfoY/z1wT9C70hHlI1pt5h0SDlO26EQ+ZltuLPtfmxt3g1XcEbsMHV9ohNev0uQO5NzOqPB5zACiyNAC2G91oB1pc3YUrsX5mA5Tp8+jbfefx3DY4Np+Y+T7yCCvDRafGLvffiT3/lz2ItLeBjyCAEm5TwarHSaStW8fvzOn+NI+0H4/NI2jZmSMp1PipnMZW31t2H/1gdhMOpxfapD7DI1NjsYr6+dTqP4HEaAEUhAQKpfTeq4FK01O9Bs3wHHiAcH33kFJ899iGAwGNtYIlPoyJ9st5bga099A994+lu8O1SmAK7y+UzKqzwAK3H7I5feEEVEJhxkwo4Hey1uvo4rZYnEJXM2+ZrNBht2NO/Fns33IFwUwKUbx9E7fgVO7xwiCLNqXolB5GuqFAHJd6zT6lFjb0Rb9e0oL2rEiVMn8cbhVzAyPrRgQZB0AaHv7fqGFvzet38g1DIf+YUAk3J+jVdarR2avI6/fO0PcZXylcPhWAR2uqQsRWzHz6YaulIQWAv2td2Hmop1GJ27jo7hcxiZ6Ycv4OVAsLRGhk9aqwiI71MEInrabi5DU3mbUMeTgw68/d6bOH3hOAKBwC2rYxlXImS6x4E99+J//LfnUVVevVYhz9t+Mynn7dAt3HDauvGfD/8FDp37OTw+t2TCThXoFRfHUeKOO5+VpEwrexEEFglBrzFgV8sB7N/6AIIFXnSOXhAmbYd7Ira5Om8HqcJJxV26ZQTkNCeroRh1JevRVLoF+oAdly604+Dhn2N0Yki4iijYa6kH3ctmKcavPvlr+NYz30nYynGp1+bPZwcBJuXs4Jz1u3xw+S28cPhHGJsZivmV5ynlDEg5thIPh8XmcZX2WuxqvROt9VvgDEyjb+IKBqavYdY9JcgZBbQU4PzmrA883zBnEJDIuBAWQzFqS5rQWNoGc6gUXR09eP/4YXT3dsC/DOo4ucO0CcXvfvsH2H/73TmDBTckfQSYlNPHKq/OnJgdwd/94oc4131MIsmIpJbnHYpyX9Kvkpkt9rsipSr235EIQpGwWNm31G3Bnk13o6q8FjOeUVwbv4zBqV7MemfEzlOc35xX04YbuwwIiEp4BQUw6S2osTdgQ8V2VOgbMdA3jLfePYiz7acQCPiFqVrse75MB92Xqng99vDn8Fv/6fdhtdiW6cp8mWwiwKScTbSzfK93zr2MfznyN5h0jAmf8HKRsiywJZN2WBQ82FC7GXdsvEv4mydcg+gebRcVweY80wjRfs2iKhgr5yxPAb5dFhGQydioM6GyeB02lG9FpXE9HGMuHD3xHo59dASO2elbSnNKpxt0/4a6JnzvN76Ph+95NJ2P8Dk5iACTcg4OynI1adwxjH9483mc7foQgVAg5ltOuH4aSllZqlMhpmOXCZNyDgVhNdqwueE27G49gFJ7GcbmbqBnnMi5D07PjCBnNmsv1+jydXIBATmAi8zURp0Z5dYaNJVtxjrbJrgmffjgxBF8ePo9jE1QzepC8VqJQ+Q76/T41H2P4fvP/TEsZutK3IavmQUEmJSzAPJq3oLqYL/03l8J33JKtayQz3IqlFDC0bSoVCScTNLyuRSlTQ8HIuctjbuwe+MBlNhLMTJ7HZ0jFzE2OwCX1wF/yC8uyz7n1ZwZfO+lICCTcVGRBia9GeWWWjSWbkR98SZ4poM4deYEjp56F/1DfWKek6l6JQ9KXWyoW88qeSVBztK1mZSzBPRq3WbGNYl/evvPcOLKYSl1KdmErLRpK1Oh5v2u6IFik4sEAo9eS5AzIrCZ7NjRvAfbm++AyWSEwzuJoZleDM70irKdPr9HRHSzel6t2cH3zRQBWnTSV4g2cLGbylBtb0CluR62wko4p7zo6u7EkZOHMTDcD/oerDQZS98/SSU/+sBn8Vu/+QcoKS7NtFt8fg4hwKScQ4OxUk0503kEPz70IwyM9y5a/zohPzkDUo59LsEUTnW0KUc6AqvJjqbqVmxt2oX66mZ4Q3O4Md0lfM6TzlG4/XNSUBhpCt6RaqWmAV93CQjI/mJKCaQqXOtKW7C+bAvMkVJc6+nDkeOHcPHKecw6HWIOk5k6W3OZlPiG9Rvx3Dd/Gw/c9cgSeskfzQUEmJRzYRRWuA1Ozyx+euRvcfjCq3B65hIfFsuglBciZXkFQA80Il2tVo/a0gZsbtiO5rqNMJqMmPaOoX+yEyOOG5jzzMAf9IkqYqyeV3hS8OUXRUAyT0tV3osKyURtQbm1GjXFjag0NcBaWIHu7h4cPXEY5z8+C4/HJeUar5DPeKHG0nervKQcTz/5DH7tS8+K6Gs+8hsBJuX8Hr+0W987chUvvvuXuHjtlPDpxvy5y0bKidtRSS5ppcMaCNO/kOR3LrWWCb/zztZ9sNmK4fBPCOU8MNWDadcEvAF3VD0LfubI7bRHmk9cCgLCPA2IohsGnQk2YwlKzVWotjai1rYBzgkPLrSfx/nLZ9DZ2wG3xyXOzTYZy2Zrg94g1PF//Y+/h7rq+qV0nT+bIwgwKefIQGSjGWe7PsALh/83eke7hM9Xrosdu/dCPuVUucrKBss+ZsXOF6lIWQ6OoY9SKhWVAKXdqNbXbMKWptuwoX4LfGEnxuYGMDTThwnnCObc0/AGPFLkNlEzm7ezMVXW1D0kIo6ggIhYY4TVaBequNrWhFJ9NXQhMwZuDOLjq+04df4YhkYHxfwlf/FyVOG6FbDlwiRbNm7Dd579XRy4455buQx/JgcRYFLOwUFZqSaRafjgqZ/g9ZMvYWp2TJKgScnLslKQV+JyW5SiN1kEx6KxFSdJz7lEpawkZXFd2o0qQuo5JB5wdeVN2NiwHRsbtsFqtiBY4MfwzHURtT3hHMasZxo+QdAhqVkFHMG9UnNF3deVNoWQ55C2UAezwYoyazXqS1pQYVqHAr8eMxMOtF+5hEtXzuH6YC+c7rlYOczVXhzS97SirBJf+ZWv46tf+AZ0Or26h2wN9Y5JeQ0NNnV1xjmJ//f+3+LopTfg8jkl5ZmQFhV/k0jQiUAlkHSyUpb5OA1SjhN1BKHo5hlGvRk1ZfXY3LADTbUtKLOXw+GbFAp6eKYPU64xOL0O+KL+ZzkillOs1thkzqC7ygUhmZopepryiqkEZrm5BuvsLSjWVSLgjODS5Qs49tFR9A70wOV2iu/HSuYYZ9ANaS0bicBkNOOT9z2G7zz726goq8r0Enx+DiPApJzDg7NSTbs+2o3/e+gvcKH3lLSJRCReaSvbSjmleqYNIUPSlpAmgxl15Q3YsG4L1tdthMVshjfkxLDjOiZdI0I9E0F7/C5RIEUEickiiE3dKzWF8uC6shqmkpeF0BRpodcaYNRZUGIqR5m5GiXGKkHEfmcI/f39ONd+Bu0d5+GYnYE/VgYzt6rQ0fdTq9Xhzl0H8K1nvovbtu7Og7HgJmaCAJNyJmip6NzjVw7jX4/+PfpGuxAOh2KBXwsVELmZ+Vqs4BVVRWLXSa4YlpZ6jgIdNW8Loo1A7Ou8rrIJG+u3YX1tKywWCwLwweGZxLBDUtAUwe30OUA7ZZEfWl5krLa5UUVTJ2e7kqiGi6Ap1MSCtYiEq2z1KDZUQBM0wO3woX+gH1e62tHRfRk3hq5LfuUCqepWLs4XeVvGrZt24De++p9xz50PrkqAWc5OAJU0jElZJQOZaTeCIT+OXHoTr514ATfGrgnfrmQak+g19e/xuySbr5NJOXWaVCo/8wJ/izdDuqkgaMp9DongGrPRhkp7DRqqNggTd1VZDYxGI2Y84xhzDmDGPYEp16hQ0l6/R6RahSJBhZ+bc6IznTO5dX5cCVNsBM0JSl3SafSwGGywmypQYqpAqakaNk05Ir4iTE1Oo6evW6jha/3dmHPOio0hCouKcn6LQyJkirtoa92GZ7/8LTx096NMyLk1IZetNUzKywZl/l3IH/TjyMWDeO3Eixic6EOIqmsJU/Z8Ur5Z/eub5SqnCgZb9G8pSDnm7ZYVdFjaEEOn0aHEWo7K0lrUVzajpX4Tiq12hAoCcPqnBTmPzw3B4ZmCy+eAN+AVZnvKnZYXI2L0OHAsZyexMvZAyh0uEiZpImGT3gqrwQ6boQQlpkqUmeqgC5vgcwcwNDSEc5c+EulLYxMjgogLiwoFiZMazkVFPH8QJAW/vn4Dvv70b+LxTz6Z84uInJ1IedAwJuU8GKSVbGIg5Md751/H6ydfxMBEn1SFK3pkUv/6pqS8YPBX+kpZScqyepb+FkYoFBZtLxAbA5hgt5SiqaYFLfVbUFfZIAqV+MMeODwTmPPNwOGeFNXEBEn7PSLtKhiWfNIxvzTvCb2SU2/BaycTMBGoCM7S6EVwFr2sejtKzZUoNpTDoiuBubAYAW8Ew8OD6O7tEmbpvoFrosJWMCil00lbJeaWjzhdgGur6vDlzz+DL/3yV2A0mNL9GJ+XhwgwKefhoC13k/0BH9698BpeO/kihiaux/yw88tuKu6cVP86bVJOktzzfM9Kjp5X2EReLcR/zt8DWjJzR4SKDgk1ZTHZUF5chfrK9aivWo+qsmoRvVpYBAQiPhEwRkra6SV/9KzYNMMb9Ag1TS+6TrJPnZX10mbhvAA/kYNOL1LAGmGKjkVI620w622wG8tRZW2EWWOH1+2Dc9aFqckpdPd2oruvExPT45hxTMHplrIKRMT0Mu5XvLQeZ/5pqZYAUFlWjSc+/UV87alnYbfZM78QfyKvEGBSzqvhWrnG+gI+vH3m3/D6iZ9gdGZQKi4SoT2Yo8yYkoSTSVpxklyIJNUuVGn9LWZFl26ivP+i200qzyW/o1SDm4iajgKQ4tKgzFaJ2ooGVJXWoLqsDlVltTCbzPCF3XAHZkWw2LRrDJOuMXj8cyCLAr3IN01BZETUIsdaBKEpkl7ZBJ4wSRPJVypbGa8NLQVjUT1pMkNri/Qw6SyiipbNUAqL3g6TxgZtxICwv1AQcP9gH24MXkfvjR4RnOXxuKVCNNEgrSIRpLUy2yOu3Ldv/pWpP7SgqK6owWcefgJffeqbKCspz2YT+F6rhACT8ioBn4u39frdePP0T/H22Z9jZHogVuZyHikmk2Tsfe6RsmhaChIXRB0mBRwRZlFKvSKTd7m9CusqG7GuqhE2SzGojGGhpgC+kAeegBNzQk3PiDKgLt+cMH97/G5h+qZob0rLop9i96vYeiZ5RaEwoeYhiSsXarEVU3T3Mdk8TD0k1UtqlVQv+YBJ+eo0Bhi1JliMdpi0Fhg0FhQbiYBLoI3oEQ4UwOvxYG7OiampKfT196CrtwOT0+NCAbvcLgRDQaGmRZQ0aOGorkMK6tKguaEFT332aXzmkSd45yd1DfGivWFSXkODnU5XiZiPX3lXkPO1oSvwBwNS7elbVcpRwo4Te+KFUpmv4wFgyUo8+j4DpZxMylJz4upffi/M3dEtJ4nFyextNdlQaqtAia0cpdZylBaXi9/LiitgMVsQQgDekBu+oBv+kFfsdkXpWbNeivhWErU/ZgoX5nBI9b+FwiNTu9KPHevyAr7PRD5fYk3wGBJxbk3SufHmSDcmEhRpQyJISjIPE+EWFWqhFYFXBoEdqV4qWanXmmDWW2HWWoX6NWjMiAQLUBjWgiqnTk9Pi7KVFIQ1MjaEiakxTM1MYnpmEj6/TxF8F1fYyU1UEylLechabNqwBV/+/K/jsYd+GVqNNp2vLp+jEgSYlFUykMvZDSKOc93H8erxF3B1oB2+gDtqyl6AJBdTyjch5Xm+aKUKv5lPWZnClSRGY77mlHW7E0k5vmBQ3jxaAlQoailPWpBPEaXd6GAyWFBKZF1ciVJbGSpKqlBsLYHFbIPZYEJBUQEiBSEEIwFR2MQbdAsc6Wcg5BPKmtQ2qWxS4ETicvnQCNE2rVaixC35tIlAJXM8kbhE6HGzvDwyaYcxRYPYYuQq/K8UCCURLv0ujP3RIKuiAiJeDTTRSlh6rRH6IgMMWpP4qRW/m2HSWqErNEADHULBCJzOOcy55uByOjHnnMP4xBiuD17D4PANOD1OUDyD3+9DMCAtVui+cmS0ck6n9Oknj+1yfkwrD/gAABKUSURBVAlW4Vo0tmSZ2bFlN77yha/jvv0PCYLmY20hwKS8tsY77d7SQ79n8GO8cvwFnOs5BpdnTpCEFHqSQjknR1cnbW4R/0yS5E7he05bKa8wKSf0M8oKEilKgWSS2iVYpIh1nVYPi6kYFqMVJr0JFpNV1FS2mm0i2MxmtguTuF6vFw/fIk0R1S5DpCAsSDqMEMgnSvnU5L+mFDVaIIkds0QhlDACYQo+k/zbvqBH+Ldl/6MgM2HOVdR2XmDEyfpRRIq2UCcUrl5jjKpcHbSFkuItKqBgKz00BVqERUejWjlcKN6HgmEEfAE4HDOYnp0WQVbjU2OYnZuBx+sRc4aImEiZdlOiGueyT1mkI8lzKbmN8popuZZ6ir4sRNZpT/QcOFHeJtJksmDvzgP42lPfxP7bP5EDLeMmrAYCTMqrgXoe3bN/rAdvn3kZxz5+B9Oz49GAKYmYU1b5St4pSmn3XpCAUxF1FKR5purEALB4GxREFLucMt86fr35PtHE4LAEJ2VSXe+EgmSxtsn3IRN41CxNpnA5uEw295LypG3+CgpiUeFE1sVE1mYbDHqTqEBF6ohMlrQ3rkajFcqRfhp0Rmjk/9MZRYoPqWgiOK2GyFUnVL0IRFOktqWabtS0YDCAAL0CAXh9Hvj8XvHT6/fC7/OJUpP08no9cHtI6fvE/xPpToso5znhlw8GQ0LlSy4A6adEvuRXpqArSXGnWpjFyrrO26EscYKpVSnLu7VRXv3ddz6AZ770H7CldVsePSG4qcuNAJPyciOqwus5XFM4dO4VvH/+IAYn+8VDn4hgUVJOUrEJD+So0l5cPec+KScXP1EGlMU81wnEHV04RAkorrpl37KkvsVnIxKhyWk9wnSsoeAmqfoU+W0FwRcWighmaTwkUgyFKDI82W8u4xldkkQgzqMXBU4Fg34EgkFB0pTXqyRLEVIQze+liPy4yk0ONlBYUcTtpRWN/CuTcuLDQfYfN9Q24pF7P43PPfoUmuqbVfgE4S5lggCTciZoreFzSQl9dPUI3jrzMjr6L8Dlda4tUpYJJpWfO2baVi4k4uSXYFaIMlScqOJWAqXqly0RyRuEiPfCjSCTXdxCkCr3VzQ7wdqgtEooPNBC3CaZlJOtBMmLqcWIl0l5kaeFZEmgXPkdbTtFQZAH7nqEt19cw89XZdeZlHkiZIBARFT9OnT2VZy88h5GpweFspLTYCSRF2eteZHVi/mZ56nnJSjllDW849e7JfP1KpFybHCUJvkFI+EVBL8gnsmLhTi5xz6S7DKQFx3pkHLMH5xaKSfPibVmvpZrWNdU1uK+Aw/jyU9/SZir87XSWAYPDz41TQSYlNMEik+LI+DxuXGm8wO8deZn6Bpoh9vniu4QlWjOzDYpJ7ivFTbTBDN7qoVBnD/mR7Alk2GWlbKqSDkJS8kaEDezJ+wylrLy2/xvYb4Eesl902l12LhhC774+Jfx6P2fgdVi40cLI5CAAJMyT4hbQoAeMrS71Ntnfi5U87hjWPgnJVNt9IfChCn/fZ5KXVA9Z66UmZSXVynHzd6KBDOlik5lol5MKa9RUqaFB/n+bdZi3LFjH371c1/FgT33qKLy2C09PPhDiyLApMwTZEkIOD2z+KjzA7x95mfoGbwiqeYIJU4VRIN8FLbWFA/l5PracfJOIuUFamIn+GGVt2KlHFscJZYoTd98fauknOwvT/RpJ5glVK2UZSuA2WRBS9NGPPCJR/DYw0+gvqZhSd85/rC6EWBSVvf4Zq13PUMdOHz2VXzU+SEmHCMIBH0JAUaJZJtM1ImRwinrXGdIyvFrJOXs3rL5WmrAfFN4vGE3j76ORWcpIpIXD/RaTfP1SpOyRN5qNF9LY6rV6lBZXo37DzyEX/ns06JKFx+MwM0QYFK+GUL8/2kj4PY6caX/Ij5sfxvtvWcw4RiViltQeo8sfFOatBPV06qTssIEP09lpuNTjpJNYiqQ4oPR6OkYMyeYfOM3T7kAiPoGFvw/5fomOWArZbsWDvRajJSjmVvz054SUqCiKVHJ0d/K4VYRKct+Y8oxLyupwG1bd+PTDz6Ou/beKwrI8MEIpIMAk3I6KPE5GSFAJuyLPaeEciaSnnXNiIpUotrUEkg5VaWvhczXS1LKTMqSYSNGpvN9ykzKiV8J4bIpKIDFbMX2zbfh8U9+AQfuuAdVFdUZfXf4ZEaASZnnwIohMDU7jhNX3scHF9/EteGrcHvnEApHC3UmCsfEqGdlyk9KZRpvcjqknKy8F0qJkrh4MVP6TfyxCW1dIE95ERWdKk851tObVilLtDYkqvS4e1nOcY5VLVskFzmbpDwvVSpPoq9lMqayqY3r1uOhux8VfuPmhg0r9r3iC6sbASZldY/vqveOio5QlPbRi2/idMdRDE3cgNfvidWLXlw9J5bUXLwmtqJ6VAI/Lf53JemlJOUkxZiS7OQ83iWSslLdJyjV5P6k3GQjA1JezASvsBKsKikn5TotlPq0GilR8fKpBaIUKu15vHfXfrHv8a7te3hXp1V/6uR3A5iU83v88qb1tLECqeUPL72D810nMTI1AI/XJdVKlnsxTz0vQMopzctRE+s8PyqTcgLZKyt8KXlcXlhklZSTg9yU75Urh/l11sWUSS6issLfBpmMqbypyWhCdWWt2Djiobs/hd3b9kCvN6xwC/jyawEBJuW1MMo51Ed/0I/+0W6c7zqBC92n0DfSjVnnDAKhgHjKyjsHJUYyRzuQyqy9kFl3oQpYqdKylESUbL5WlVJOCrxaLVKOeQhSk3JCVLY89IkcLf01S6QskzFtACKlN23CffsfxN377kNzYyuMBlMOfcO4KfmOAJNyvo9gHrd/enYCZ7uO4cOLh9A50C4FhAUDUVqMb24Q6yKTcsx0cGvR19kn5XhAmEyiygInaZLyQuS7wqQcI+PCIlgtVrQ2t4n0JqpTvb6hhUtj5vGzJ5ebzqScy6OzRto2PTchVPOpK0fQdeMyKECMthGk7QdJIMX23c2ElJN2qVKayGOxxEm+VUl8JQV6qUopp5FrvWzma4U7ITklKqVSjuM+TylnkZTjJmppu0yKpm5pahUm6gc/8Smsq6nnSlxr5Lm0Wt1kUl4t5Pm+8xCY8zjQO9QpyPl85wmMTQ+D6mxT+U65Stg8//MiUcnKiN41QcoK+bxo9PVyBXoJAlf47Om6ydHc0b/Fzc0LKeXVJeUEE7XRLFKZdrTtxr7dd+G2LbuxnqOp+YmVJQSYlLMENN8mfQTI7zw8eQPtPR/hYvdp9AxejavnCO09LBcjkUt5xuWd0qzLpJzsi0/DfJ0y2C5mW0iqa57fpKxUxVR9q9hajI3NbcJXvHfnAWxo2ghKdeKDEcgmAkzK2USb75UxAlRb+8ZoL851ncDZjmMYnhzAnHtWqhQWlhkkujtVUqqQMqVnTShlReRTaqXMpKzcn7qoSAOzyYz62kbs2blfRFJvbtkK2laRD0ZgtRBgUl4t5Pm+GSFA/uXJ2TF09l/Ghe7T6Oi7gJHJQXh8LgRCQUTC4ej15IKeyjQaRc3q5Yy+lhcBKdKJYhttxPypiRI0kTSTTLc3K6V5y3nKSyTlBVR0QqT8spivk5zIS/Qpx4i4ACgqLIJOp0dZcRk2t24VVbf27jog/MaU6sQHI7DaCDApr/YI8P0zRoBU8tj0CK70no+Zt2X/c5AIOmrili4sqWglcSxboNeaJ+Ukkr+JT3mxql2COFMEgIkhzJCUlWqYtkzUaDQwGcwoLSkTqnjn1ttx5+67RAR1qb0s4/nHH2AEVhIBJuWVRJevveIIhEJBDI7340rfeVztv4yu/suCsClAzB/wIyQUtEJFZ1EpJy4G1KiUc4eUlURMNag1UdN0TVUdtrftwo62XdjSuk34iY0G44rPS74BI3CrCDAp3ypy/LmcQ4C2i5x1OYQP+tK1s7h6vR2DY9cxPTsJX8ALKvlJfmjxTwSLSQlXshqTRFkGKVE3UcpMylEXggypbLOPvY8vVDJVynS+bP0gEiZFTGZp2o2JfMLkG96z807s2n4HKkorRTlMPhiBfECASTkfRonbeEsIOD1zgqB7h7vQ0XcRndcvY9IxHlPR4YiUaiXzsKjDzaQcw3peoFyyTzm55nem5mtlCtdC5uvo8CQrYUTVsMloRrHVjoa6Jtxx2z60kRpubBVmaj4YgXxEgEk5H0eN25wxAoFgAJOOMZEH3TNwFX3D3RieuIHx6VG4vS6xtWQwGERY+KPjaplUWNrkJElthfJW+rLz23ydEJiWbCFQ9nmRQK95KWopSFmyYiQ6kWmxVFhUJDZ6IBIuL61AXXUDmuqbsW3Tbdi+eSfKyyqEWbqgoDDjucEfYARyCQEm5VwaDW5L1hDw+tyYmp3A+MyoMHFfG+xE31CXeO9wzYjNMuSiJUpTaTzqSDJ7S2Uk5+fxSuS8EClHzeTJkdmLFEJJewcppfVdQZbK4LaUJTqTVe9ilcxumZSjrYhiJqwSSlN21JtAJEyLIb1OD5ulGKUlFWiq34C2lq1obd6MdTUNqKqogdVszdp84RsxAtlCgEk5W0jzfXIaASJet8+F0ckh9Ax24PrwNQyO9WNovB+TM2NwRyuLhUNB4ZsOK9R0TNmJQG+lj1pBysoQYsFFCjWovJZE9XHCl1FLl7BzlJSlhY0ywlrqWGHUDE0lLQ06A+y2EkG4FKDV3NCKttataF2/GaX2cuE35oMRUDsCTMpqH2Hu3y0jQBHcFCRGfuiBsT6MTAyK3OjRyWHMuR3C7D3nmoXX55HqdEfCElnHlGByrWmJMQsiUd91nipl0exo4ZYEK8I8n7K0QKH+UjxdPCraCrvVDovFhtLiMjTUrcem5jahhottdqGOLWYLdFr9LY8df5ARyFcEmJTzdeS43auCAPmciYQdzmlMzIxieHwAo1PDwjc9NH5DvJyuWWH6phflTVPaloj8jiliib0k03dUGStczjFxrPxbBko5wf+blAKWmelabmM0/C1BhStVr7RlSAEKQdsbago1okgH+YD1eqMg2eryGuEHrq1aJ4KwGuoaUVO5TmyFyAcjwAjEEWBS5tnACCwDAkS+5Kd2uucw5ZgQ/mpS2NMOSWnPzE7C5XHC43ULhU0+a3rv9dFuWCHhl5ZNvOJnlLSVQWeSAI8xeSymrEDwY7TUaDRVKFNiFp+Okq4c3EY/lUdBpFCoXSJevc4Ai8kae5mNFtisdlSUVqG8pBJlJeWoqagVZmeqH01BWJSWRKUt+WAEGIGFEWBS5tnBCGQJAVLYlKY153II8ia17ZidxqxzRtTzdjhn4HLPim0ribyJtF0el6jzTeZxegl/djgkiqLI76nEaExURyIiAllEIScEeilkrhxQVVAoFG1hQRGKCgtFhLNeS+RpEEFWVrMdNrMNer0BBr0JZqNZ5AHbbaWwWeyw2+hVgmJrCYiU2eebpYnEt1E1AkzKqh5e7lw+IUCmcTnim3KoY0QcCsEX8MHn88Dr98DtcYpiKKSyXe450K5acroRGZLJF0uFNMSRwixOfybFS+dZjBaYTBZBqkaDGTqtDoWC1CVFTPWgiWwpICtWaCWfQOW2Mg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MCmrd2y5Z4wAI8AIMAJ5hgCTcp4NGDeXEWAEGAFGQL0IJJDy8ePHsW/fPvX2lnvGCDACjAAjwAjkMAInT57E/v37UQAg8vzzz2PHjh053FxuGiPACDACjAAjoF4ELl68iOeee04iZfV2k3vGCDACjAAjwAjkDwL/H7bqrShzlwoLAAAAAElFTkSuQmCC"/>
        <xdr:cNvSpPr>
          <a:spLocks noChangeAspect="1" noChangeArrowheads="1"/>
        </xdr:cNvSpPr>
      </xdr:nvSpPr>
      <xdr:spPr bwMode="auto">
        <a:xfrm>
          <a:off x="361950" y="567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38100</xdr:colOff>
      <xdr:row>26</xdr:row>
      <xdr:rowOff>6796</xdr:rowOff>
    </xdr:from>
    <xdr:to>
      <xdr:col>7</xdr:col>
      <xdr:colOff>403367</xdr:colOff>
      <xdr:row>43</xdr:row>
      <xdr:rowOff>9525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521771"/>
          <a:ext cx="5556392" cy="3241229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66673</xdr:colOff>
      <xdr:row>25</xdr:row>
      <xdr:rowOff>188359</xdr:rowOff>
    </xdr:from>
    <xdr:to>
      <xdr:col>23</xdr:col>
      <xdr:colOff>46514</xdr:colOff>
      <xdr:row>43</xdr:row>
      <xdr:rowOff>9525</xdr:rowOff>
    </xdr:to>
    <xdr:pic>
      <xdr:nvPicPr>
        <xdr:cNvPr id="9" name="Paveikslėlis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34598" y="5512834"/>
          <a:ext cx="4856641" cy="3250166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25</xdr:row>
      <xdr:rowOff>190499</xdr:rowOff>
    </xdr:from>
    <xdr:to>
      <xdr:col>14</xdr:col>
      <xdr:colOff>607702</xdr:colOff>
      <xdr:row>43</xdr:row>
      <xdr:rowOff>9525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48325" y="5514974"/>
          <a:ext cx="4417702" cy="32480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28</xdr:row>
      <xdr:rowOff>85724</xdr:rowOff>
    </xdr:from>
    <xdr:to>
      <xdr:col>7</xdr:col>
      <xdr:colOff>102515</xdr:colOff>
      <xdr:row>46</xdr:row>
      <xdr:rowOff>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" y="6029324"/>
          <a:ext cx="5722266" cy="334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50083</xdr:colOff>
      <xdr:row>26</xdr:row>
      <xdr:rowOff>9525</xdr:rowOff>
    </xdr:from>
    <xdr:to>
      <xdr:col>7</xdr:col>
      <xdr:colOff>409575</xdr:colOff>
      <xdr:row>42</xdr:row>
      <xdr:rowOff>182253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83" y="5734050"/>
          <a:ext cx="5512517" cy="32207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28</xdr:row>
      <xdr:rowOff>3737</xdr:rowOff>
    </xdr:from>
    <xdr:to>
      <xdr:col>8</xdr:col>
      <xdr:colOff>219473</xdr:colOff>
      <xdr:row>45</xdr:row>
      <xdr:rowOff>0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99" y="6156887"/>
          <a:ext cx="5505849" cy="32347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27</xdr:row>
      <xdr:rowOff>9525</xdr:rowOff>
    </xdr:from>
    <xdr:to>
      <xdr:col>7</xdr:col>
      <xdr:colOff>400051</xdr:colOff>
      <xdr:row>49</xdr:row>
      <xdr:rowOff>3938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5981700"/>
          <a:ext cx="5486400" cy="4185413"/>
        </a:xfrm>
        <a:prstGeom prst="rect">
          <a:avLst/>
        </a:prstGeom>
      </xdr:spPr>
    </xdr:pic>
    <xdr:clientData/>
  </xdr:twoCellAnchor>
  <xdr:twoCellAnchor editAs="oneCell">
    <xdr:from>
      <xdr:col>7</xdr:col>
      <xdr:colOff>495299</xdr:colOff>
      <xdr:row>27</xdr:row>
      <xdr:rowOff>9525</xdr:rowOff>
    </xdr:from>
    <xdr:to>
      <xdr:col>16</xdr:col>
      <xdr:colOff>194200</xdr:colOff>
      <xdr:row>49</xdr:row>
      <xdr:rowOff>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0699" y="5800725"/>
          <a:ext cx="5775851" cy="4181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25"/>
  <sheetViews>
    <sheetView workbookViewId="0">
      <selection activeCell="L10" sqref="L10"/>
    </sheetView>
  </sheetViews>
  <sheetFormatPr defaultRowHeight="15" x14ac:dyDescent="0.25"/>
  <cols>
    <col min="1" max="1" width="5.42578125" customWidth="1"/>
    <col min="2" max="2" width="27" customWidth="1"/>
    <col min="3" max="3" width="12.5703125" customWidth="1"/>
    <col min="4" max="4" width="10.7109375" customWidth="1"/>
    <col min="5" max="6" width="11" customWidth="1"/>
    <col min="7" max="7" width="9.7109375" customWidth="1"/>
    <col min="8" max="8" width="9.85546875" customWidth="1"/>
    <col min="9" max="10" width="10.85546875" customWidth="1"/>
  </cols>
  <sheetData>
    <row r="2" spans="1:10" ht="15.75" x14ac:dyDescent="0.25">
      <c r="A2" s="126" t="s">
        <v>89</v>
      </c>
      <c r="B2" s="126"/>
      <c r="C2" s="126"/>
      <c r="D2" s="126"/>
      <c r="E2" s="126"/>
      <c r="F2" s="126"/>
      <c r="G2" s="126"/>
      <c r="H2" s="126"/>
      <c r="I2" s="126"/>
      <c r="J2" s="126"/>
    </row>
    <row r="4" spans="1:10" ht="15.95" customHeight="1" x14ac:dyDescent="0.25">
      <c r="A4" s="127" t="s">
        <v>0</v>
      </c>
      <c r="B4" s="127" t="s">
        <v>1</v>
      </c>
      <c r="C4" s="129" t="s">
        <v>90</v>
      </c>
      <c r="D4" s="129"/>
      <c r="E4" s="129"/>
      <c r="F4" s="129"/>
      <c r="G4" s="129"/>
      <c r="H4" s="129"/>
      <c r="I4" s="129"/>
      <c r="J4" s="129"/>
    </row>
    <row r="5" spans="1:10" ht="15.95" customHeight="1" x14ac:dyDescent="0.25">
      <c r="A5" s="127"/>
      <c r="B5" s="127"/>
      <c r="C5" s="129" t="s">
        <v>2</v>
      </c>
      <c r="D5" s="129"/>
      <c r="E5" s="129" t="s">
        <v>3</v>
      </c>
      <c r="F5" s="129"/>
      <c r="G5" s="129" t="s">
        <v>4</v>
      </c>
      <c r="H5" s="129"/>
      <c r="I5" s="129" t="s">
        <v>5</v>
      </c>
      <c r="J5" s="129"/>
    </row>
    <row r="6" spans="1:10" ht="15.95" customHeight="1" x14ac:dyDescent="0.25">
      <c r="A6" s="128"/>
      <c r="B6" s="128"/>
      <c r="C6" s="1" t="s">
        <v>6</v>
      </c>
      <c r="D6" s="1" t="s">
        <v>7</v>
      </c>
      <c r="E6" s="1" t="s">
        <v>6</v>
      </c>
      <c r="F6" s="1" t="s">
        <v>7</v>
      </c>
      <c r="G6" s="1" t="s">
        <v>6</v>
      </c>
      <c r="H6" s="1" t="s">
        <v>7</v>
      </c>
      <c r="I6" s="1" t="s">
        <v>6</v>
      </c>
      <c r="J6" s="1" t="s">
        <v>7</v>
      </c>
    </row>
    <row r="7" spans="1:10" ht="15.95" customHeight="1" x14ac:dyDescent="0.25">
      <c r="A7" s="123" t="s">
        <v>8</v>
      </c>
      <c r="B7" s="123"/>
      <c r="C7" s="123"/>
      <c r="D7" s="123"/>
      <c r="E7" s="123"/>
      <c r="F7" s="123"/>
      <c r="G7" s="123"/>
      <c r="H7" s="123"/>
      <c r="I7" s="123"/>
      <c r="J7" s="123"/>
    </row>
    <row r="8" spans="1:10" ht="15.95" customHeight="1" x14ac:dyDescent="0.25">
      <c r="A8" s="51" t="s">
        <v>9</v>
      </c>
      <c r="B8" s="52" t="s">
        <v>10</v>
      </c>
      <c r="C8" s="53">
        <v>310436</v>
      </c>
      <c r="D8" s="53">
        <v>242501</v>
      </c>
      <c r="E8" s="53">
        <v>97893</v>
      </c>
      <c r="F8" s="53">
        <v>69807</v>
      </c>
      <c r="G8" s="53">
        <f>12670+199886</f>
        <v>212556</v>
      </c>
      <c r="H8" s="53">
        <f>9788+162807</f>
        <v>172595</v>
      </c>
      <c r="I8" s="53" t="s">
        <v>11</v>
      </c>
      <c r="J8" s="53" t="s">
        <v>11</v>
      </c>
    </row>
    <row r="9" spans="1:10" ht="15.95" customHeight="1" x14ac:dyDescent="0.25">
      <c r="A9" s="51" t="s">
        <v>12</v>
      </c>
      <c r="B9" s="52" t="s">
        <v>13</v>
      </c>
      <c r="C9" s="53">
        <v>242687</v>
      </c>
      <c r="D9" s="53">
        <v>201301</v>
      </c>
      <c r="E9" s="53">
        <v>60881</v>
      </c>
      <c r="F9" s="53">
        <v>37833</v>
      </c>
      <c r="G9" s="53">
        <v>17754</v>
      </c>
      <c r="H9" s="53">
        <v>14228</v>
      </c>
      <c r="I9" s="53">
        <v>164052</v>
      </c>
      <c r="J9" s="53">
        <v>149240</v>
      </c>
    </row>
    <row r="10" spans="1:10" ht="15.95" customHeight="1" x14ac:dyDescent="0.25">
      <c r="A10" s="2" t="s">
        <v>14</v>
      </c>
      <c r="B10" s="3" t="s">
        <v>15</v>
      </c>
      <c r="C10" s="54">
        <v>207159</v>
      </c>
      <c r="D10" s="54">
        <v>175878</v>
      </c>
      <c r="E10" s="54">
        <v>60721</v>
      </c>
      <c r="F10" s="54">
        <v>53144</v>
      </c>
      <c r="G10" s="54">
        <v>15824</v>
      </c>
      <c r="H10" s="54">
        <v>10273</v>
      </c>
      <c r="I10" s="54">
        <v>130614</v>
      </c>
      <c r="J10" s="54">
        <v>112461</v>
      </c>
    </row>
    <row r="11" spans="1:10" ht="15.95" customHeight="1" x14ac:dyDescent="0.25">
      <c r="A11" s="4" t="s">
        <v>16</v>
      </c>
      <c r="B11" s="5" t="s">
        <v>17</v>
      </c>
      <c r="C11" s="55">
        <v>95090</v>
      </c>
      <c r="D11" s="55">
        <v>75026</v>
      </c>
      <c r="E11" s="55">
        <v>41053</v>
      </c>
      <c r="F11" s="55">
        <v>31098</v>
      </c>
      <c r="G11" s="55">
        <v>54037</v>
      </c>
      <c r="H11" s="116">
        <v>43928</v>
      </c>
      <c r="I11" s="55" t="s">
        <v>11</v>
      </c>
      <c r="J11" s="55" t="s">
        <v>11</v>
      </c>
    </row>
    <row r="12" spans="1:10" ht="15.95" customHeight="1" x14ac:dyDescent="0.25">
      <c r="A12" s="4" t="s">
        <v>18</v>
      </c>
      <c r="B12" s="5" t="s">
        <v>19</v>
      </c>
      <c r="C12" s="55">
        <v>73695</v>
      </c>
      <c r="D12" s="55">
        <v>23066</v>
      </c>
      <c r="E12" s="55">
        <v>73695</v>
      </c>
      <c r="F12" s="55">
        <v>23066</v>
      </c>
      <c r="G12" s="55" t="s">
        <v>11</v>
      </c>
      <c r="H12" s="55" t="s">
        <v>11</v>
      </c>
      <c r="I12" s="55" t="s">
        <v>11</v>
      </c>
      <c r="J12" s="55" t="s">
        <v>11</v>
      </c>
    </row>
    <row r="13" spans="1:10" ht="15.95" customHeight="1" x14ac:dyDescent="0.25">
      <c r="A13" s="4" t="s">
        <v>20</v>
      </c>
      <c r="B13" s="5" t="s">
        <v>21</v>
      </c>
      <c r="C13" s="55">
        <v>151849</v>
      </c>
      <c r="D13" s="55">
        <v>112417</v>
      </c>
      <c r="E13" s="55">
        <v>53982</v>
      </c>
      <c r="F13" s="55">
        <v>33675</v>
      </c>
      <c r="G13" s="55">
        <v>4601</v>
      </c>
      <c r="H13" s="55">
        <v>4203</v>
      </c>
      <c r="I13" s="55">
        <v>93266</v>
      </c>
      <c r="J13" s="55">
        <v>74539</v>
      </c>
    </row>
    <row r="14" spans="1:10" ht="15.95" customHeight="1" x14ac:dyDescent="0.25">
      <c r="A14" s="4" t="s">
        <v>22</v>
      </c>
      <c r="B14" s="5" t="s">
        <v>23</v>
      </c>
      <c r="C14" s="55">
        <v>247016</v>
      </c>
      <c r="D14" s="55">
        <v>187055</v>
      </c>
      <c r="E14" s="55">
        <v>64925</v>
      </c>
      <c r="F14" s="55">
        <v>53106</v>
      </c>
      <c r="G14" s="55" t="s">
        <v>11</v>
      </c>
      <c r="H14" s="55" t="s">
        <v>11</v>
      </c>
      <c r="I14" s="55">
        <v>182091</v>
      </c>
      <c r="J14" s="55">
        <v>133949</v>
      </c>
    </row>
    <row r="15" spans="1:10" ht="15.95" customHeight="1" x14ac:dyDescent="0.25">
      <c r="A15" s="124" t="s">
        <v>24</v>
      </c>
      <c r="B15" s="124"/>
      <c r="C15" s="56">
        <f t="shared" ref="C15:J15" si="0">SUM(C8:C14)</f>
        <v>1327932</v>
      </c>
      <c r="D15" s="56">
        <f t="shared" si="0"/>
        <v>1017244</v>
      </c>
      <c r="E15" s="56">
        <f t="shared" si="0"/>
        <v>453150</v>
      </c>
      <c r="F15" s="56">
        <f t="shared" si="0"/>
        <v>301729</v>
      </c>
      <c r="G15" s="56">
        <f>SUM(G8:G14)</f>
        <v>304772</v>
      </c>
      <c r="H15" s="56">
        <f t="shared" si="0"/>
        <v>245227</v>
      </c>
      <c r="I15" s="56">
        <f t="shared" si="0"/>
        <v>570023</v>
      </c>
      <c r="J15" s="56">
        <f t="shared" si="0"/>
        <v>470189</v>
      </c>
    </row>
    <row r="16" spans="1:10" ht="15.95" customHeight="1" x14ac:dyDescent="0.25">
      <c r="A16" s="124" t="s">
        <v>25</v>
      </c>
      <c r="B16" s="124"/>
      <c r="C16" s="57">
        <f>C15/7</f>
        <v>189704.57142857142</v>
      </c>
      <c r="D16" s="57">
        <f>D15/7</f>
        <v>145320.57142857142</v>
      </c>
      <c r="E16" s="57">
        <f>E15/7</f>
        <v>64735.714285714283</v>
      </c>
      <c r="F16" s="57">
        <f>F15/7</f>
        <v>43104.142857142855</v>
      </c>
      <c r="G16" s="57">
        <f>G15/5</f>
        <v>60954.400000000001</v>
      </c>
      <c r="H16" s="57">
        <f>H15/5</f>
        <v>49045.4</v>
      </c>
      <c r="I16" s="57">
        <f>I15/4</f>
        <v>142505.75</v>
      </c>
      <c r="J16" s="57">
        <f>J15/4</f>
        <v>117547.25</v>
      </c>
    </row>
    <row r="17" spans="1:10" ht="15.95" customHeight="1" x14ac:dyDescent="0.25">
      <c r="A17" s="125" t="s">
        <v>26</v>
      </c>
      <c r="B17" s="125"/>
      <c r="C17" s="125"/>
      <c r="D17" s="125"/>
      <c r="E17" s="125"/>
      <c r="F17" s="125"/>
      <c r="G17" s="125"/>
      <c r="H17" s="125"/>
      <c r="I17" s="125"/>
      <c r="J17" s="125"/>
    </row>
    <row r="18" spans="1:10" ht="15.95" customHeight="1" x14ac:dyDescent="0.25">
      <c r="A18" s="4" t="s">
        <v>9</v>
      </c>
      <c r="B18" s="5" t="s">
        <v>27</v>
      </c>
      <c r="C18" s="55">
        <v>210427</v>
      </c>
      <c r="D18" s="55">
        <v>156055</v>
      </c>
      <c r="E18" s="55">
        <v>59832</v>
      </c>
      <c r="F18" s="55">
        <v>43005</v>
      </c>
      <c r="G18" s="55">
        <v>10946</v>
      </c>
      <c r="H18" s="55">
        <v>6660</v>
      </c>
      <c r="I18" s="55">
        <v>139649</v>
      </c>
      <c r="J18" s="55">
        <v>106390</v>
      </c>
    </row>
    <row r="19" spans="1:10" ht="15.95" customHeight="1" x14ac:dyDescent="0.25">
      <c r="A19" s="4" t="s">
        <v>12</v>
      </c>
      <c r="B19" s="5" t="s">
        <v>28</v>
      </c>
      <c r="C19" s="55">
        <v>102723</v>
      </c>
      <c r="D19" s="55">
        <v>70281</v>
      </c>
      <c r="E19" s="55">
        <v>35802</v>
      </c>
      <c r="F19" s="55">
        <v>20479</v>
      </c>
      <c r="G19" s="55" t="s">
        <v>11</v>
      </c>
      <c r="H19" s="55" t="s">
        <v>11</v>
      </c>
      <c r="I19" s="116">
        <v>66921</v>
      </c>
      <c r="J19" s="55">
        <v>49802</v>
      </c>
    </row>
    <row r="20" spans="1:10" ht="15.95" customHeight="1" x14ac:dyDescent="0.25">
      <c r="A20" s="4" t="s">
        <v>14</v>
      </c>
      <c r="B20" s="5" t="s">
        <v>29</v>
      </c>
      <c r="C20" s="55">
        <v>181459</v>
      </c>
      <c r="D20" s="55">
        <v>156267</v>
      </c>
      <c r="E20" s="55">
        <v>40490</v>
      </c>
      <c r="F20" s="55">
        <v>35466</v>
      </c>
      <c r="G20" s="55" t="s">
        <v>11</v>
      </c>
      <c r="H20" s="55" t="s">
        <v>11</v>
      </c>
      <c r="I20" s="55">
        <v>140969</v>
      </c>
      <c r="J20" s="55">
        <v>120801</v>
      </c>
    </row>
    <row r="21" spans="1:10" ht="15.95" customHeight="1" x14ac:dyDescent="0.25">
      <c r="A21" s="4" t="s">
        <v>16</v>
      </c>
      <c r="B21" s="5" t="s">
        <v>30</v>
      </c>
      <c r="C21" s="55">
        <v>247195</v>
      </c>
      <c r="D21" s="55">
        <v>171014</v>
      </c>
      <c r="E21" s="55">
        <v>74743</v>
      </c>
      <c r="F21" s="55">
        <v>35310</v>
      </c>
      <c r="G21" s="55">
        <v>29479</v>
      </c>
      <c r="H21" s="55">
        <v>20252</v>
      </c>
      <c r="I21" s="55">
        <v>142973</v>
      </c>
      <c r="J21" s="55">
        <v>115452</v>
      </c>
    </row>
    <row r="22" spans="1:10" ht="15.95" customHeight="1" x14ac:dyDescent="0.25">
      <c r="A22" s="124" t="s">
        <v>24</v>
      </c>
      <c r="B22" s="124"/>
      <c r="C22" s="56">
        <f t="shared" ref="C22:J22" si="1">SUM(C18:C21)</f>
        <v>741804</v>
      </c>
      <c r="D22" s="56">
        <f t="shared" si="1"/>
        <v>553617</v>
      </c>
      <c r="E22" s="56">
        <f t="shared" si="1"/>
        <v>210867</v>
      </c>
      <c r="F22" s="56">
        <f t="shared" si="1"/>
        <v>134260</v>
      </c>
      <c r="G22" s="56">
        <f>SUM(G18:G21)</f>
        <v>40425</v>
      </c>
      <c r="H22" s="56">
        <f t="shared" si="1"/>
        <v>26912</v>
      </c>
      <c r="I22" s="56">
        <f t="shared" si="1"/>
        <v>490512</v>
      </c>
      <c r="J22" s="56">
        <f t="shared" si="1"/>
        <v>392445</v>
      </c>
    </row>
    <row r="23" spans="1:10" ht="15.95" customHeight="1" x14ac:dyDescent="0.25">
      <c r="A23" s="124" t="s">
        <v>25</v>
      </c>
      <c r="B23" s="124"/>
      <c r="C23" s="57">
        <f>C22/4</f>
        <v>185451</v>
      </c>
      <c r="D23" s="57">
        <f>D22/4</f>
        <v>138404.25</v>
      </c>
      <c r="E23" s="57">
        <f>E22/4</f>
        <v>52716.75</v>
      </c>
      <c r="F23" s="57">
        <f>F22/4</f>
        <v>33565</v>
      </c>
      <c r="G23" s="57">
        <f>G22/2</f>
        <v>20212.5</v>
      </c>
      <c r="H23" s="57">
        <f>H22/2</f>
        <v>13456</v>
      </c>
      <c r="I23" s="57">
        <f>I22/4</f>
        <v>122628</v>
      </c>
      <c r="J23" s="57">
        <f>J22/4</f>
        <v>98111.25</v>
      </c>
    </row>
    <row r="24" spans="1:10" ht="27.75" customHeight="1" x14ac:dyDescent="0.25">
      <c r="A24" s="122" t="s">
        <v>31</v>
      </c>
      <c r="B24" s="122"/>
      <c r="C24" s="58">
        <f t="shared" ref="C24:J24" si="2">C15+C22</f>
        <v>2069736</v>
      </c>
      <c r="D24" s="58">
        <f t="shared" si="2"/>
        <v>1570861</v>
      </c>
      <c r="E24" s="58">
        <f t="shared" si="2"/>
        <v>664017</v>
      </c>
      <c r="F24" s="58">
        <f t="shared" si="2"/>
        <v>435989</v>
      </c>
      <c r="G24" s="58">
        <f t="shared" si="2"/>
        <v>345197</v>
      </c>
      <c r="H24" s="58">
        <f t="shared" si="2"/>
        <v>272139</v>
      </c>
      <c r="I24" s="58">
        <f>I15+I22</f>
        <v>1060535</v>
      </c>
      <c r="J24" s="58">
        <f t="shared" si="2"/>
        <v>862634</v>
      </c>
    </row>
    <row r="25" spans="1:10" ht="32.25" customHeight="1" x14ac:dyDescent="0.25">
      <c r="A25" s="122" t="s">
        <v>32</v>
      </c>
      <c r="B25" s="122"/>
      <c r="C25" s="59">
        <f>C24/11</f>
        <v>188157.81818181818</v>
      </c>
      <c r="D25" s="59">
        <f>D24/11</f>
        <v>142805.54545454544</v>
      </c>
      <c r="E25" s="59">
        <f>E24/11</f>
        <v>60365.181818181816</v>
      </c>
      <c r="F25" s="59">
        <f>F24/11</f>
        <v>39635.36363636364</v>
      </c>
      <c r="G25" s="59">
        <f>G24/7</f>
        <v>49313.857142857145</v>
      </c>
      <c r="H25" s="59">
        <f>H24/7</f>
        <v>38877</v>
      </c>
      <c r="I25" s="59">
        <f>I24/8</f>
        <v>132566.875</v>
      </c>
      <c r="J25" s="59">
        <f>J24/8</f>
        <v>107829.25</v>
      </c>
    </row>
  </sheetData>
  <mergeCells count="16">
    <mergeCell ref="A2:J2"/>
    <mergeCell ref="A4:A6"/>
    <mergeCell ref="B4:B6"/>
    <mergeCell ref="C4:J4"/>
    <mergeCell ref="C5:D5"/>
    <mergeCell ref="E5:F5"/>
    <mergeCell ref="G5:H5"/>
    <mergeCell ref="I5:J5"/>
    <mergeCell ref="A24:B24"/>
    <mergeCell ref="A25:B25"/>
    <mergeCell ref="A7:J7"/>
    <mergeCell ref="A15:B15"/>
    <mergeCell ref="A16:B16"/>
    <mergeCell ref="A17:J17"/>
    <mergeCell ref="A22:B22"/>
    <mergeCell ref="A23:B23"/>
  </mergeCells>
  <pageMargins left="0.70000000000000007" right="0.70000000000000007" top="0.75" bottom="0.75" header="0.30000000000000004" footer="0.30000000000000004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6"/>
  <sheetViews>
    <sheetView workbookViewId="0">
      <selection activeCell="AA14" sqref="AA14"/>
    </sheetView>
  </sheetViews>
  <sheetFormatPr defaultRowHeight="15" x14ac:dyDescent="0.25"/>
  <cols>
    <col min="1" max="1" width="5.28515625" customWidth="1"/>
    <col min="2" max="2" width="27.42578125" customWidth="1"/>
    <col min="3" max="3" width="10" customWidth="1"/>
    <col min="4" max="4" width="9.140625" customWidth="1"/>
    <col min="5" max="5" width="11.42578125" customWidth="1"/>
    <col min="6" max="6" width="8.42578125" customWidth="1"/>
    <col min="7" max="7" width="11.5703125" customWidth="1"/>
    <col min="8" max="8" width="7.42578125" customWidth="1"/>
    <col min="9" max="9" width="6.85546875" customWidth="1"/>
    <col min="10" max="10" width="11.5703125" customWidth="1"/>
    <col min="11" max="11" width="6.85546875" customWidth="1"/>
    <col min="12" max="12" width="9.7109375" customWidth="1"/>
    <col min="13" max="13" width="7.28515625" customWidth="1"/>
    <col min="14" max="14" width="9.7109375" customWidth="1"/>
    <col min="15" max="15" width="7.140625" customWidth="1"/>
    <col min="16" max="16" width="9.7109375" customWidth="1"/>
    <col min="17" max="17" width="6.7109375" customWidth="1"/>
    <col min="18" max="18" width="9.7109375" customWidth="1"/>
    <col min="19" max="19" width="6.5703125" customWidth="1"/>
    <col min="20" max="20" width="9.28515625" customWidth="1"/>
    <col min="21" max="21" width="9.42578125" customWidth="1"/>
    <col min="22" max="24" width="11.28515625" customWidth="1"/>
    <col min="25" max="25" width="9.140625" customWidth="1"/>
  </cols>
  <sheetData>
    <row r="2" spans="1:24" ht="15.75" x14ac:dyDescent="0.25">
      <c r="A2" s="126" t="s">
        <v>91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</row>
    <row r="4" spans="1:24" ht="21.75" customHeight="1" x14ac:dyDescent="0.25">
      <c r="A4" s="132" t="s">
        <v>0</v>
      </c>
      <c r="B4" s="132" t="s">
        <v>1</v>
      </c>
      <c r="C4" s="133" t="s">
        <v>33</v>
      </c>
      <c r="D4" s="133"/>
      <c r="E4" s="132" t="s">
        <v>34</v>
      </c>
      <c r="F4" s="132" t="s">
        <v>50</v>
      </c>
      <c r="G4" s="132" t="s">
        <v>35</v>
      </c>
      <c r="H4" s="133" t="s">
        <v>36</v>
      </c>
      <c r="I4" s="133"/>
      <c r="J4" s="132" t="s">
        <v>37</v>
      </c>
      <c r="K4" s="130" t="s">
        <v>38</v>
      </c>
      <c r="L4" s="130"/>
      <c r="M4" s="130"/>
      <c r="N4" s="130"/>
      <c r="O4" s="130"/>
      <c r="P4" s="130"/>
      <c r="Q4" s="130"/>
      <c r="R4" s="130"/>
      <c r="S4" s="130" t="s">
        <v>39</v>
      </c>
      <c r="T4" s="130"/>
      <c r="U4" s="130"/>
      <c r="V4" s="133" t="s">
        <v>40</v>
      </c>
      <c r="W4" s="133" t="s">
        <v>41</v>
      </c>
      <c r="X4" s="133" t="s">
        <v>42</v>
      </c>
    </row>
    <row r="5" spans="1:24" ht="23.25" customHeight="1" x14ac:dyDescent="0.25">
      <c r="A5" s="132"/>
      <c r="B5" s="132"/>
      <c r="C5" s="133"/>
      <c r="D5" s="133"/>
      <c r="E5" s="132"/>
      <c r="F5" s="132"/>
      <c r="G5" s="132"/>
      <c r="H5" s="133"/>
      <c r="I5" s="133"/>
      <c r="J5" s="132"/>
      <c r="K5" s="133" t="s">
        <v>2</v>
      </c>
      <c r="L5" s="133" t="s">
        <v>43</v>
      </c>
      <c r="M5" s="130" t="s">
        <v>44</v>
      </c>
      <c r="N5" s="130"/>
      <c r="O5" s="130" t="s">
        <v>45</v>
      </c>
      <c r="P5" s="130"/>
      <c r="Q5" s="130" t="s">
        <v>46</v>
      </c>
      <c r="R5" s="130"/>
      <c r="S5" s="130"/>
      <c r="T5" s="130"/>
      <c r="U5" s="130"/>
      <c r="V5" s="133"/>
      <c r="W5" s="133"/>
      <c r="X5" s="133"/>
    </row>
    <row r="6" spans="1:24" ht="30" customHeight="1" x14ac:dyDescent="0.25">
      <c r="A6" s="132"/>
      <c r="B6" s="132"/>
      <c r="C6" s="6" t="s">
        <v>47</v>
      </c>
      <c r="D6" s="6" t="s">
        <v>7</v>
      </c>
      <c r="E6" s="132"/>
      <c r="F6" s="132"/>
      <c r="G6" s="132"/>
      <c r="H6" s="6" t="s">
        <v>47</v>
      </c>
      <c r="I6" s="6" t="s">
        <v>7</v>
      </c>
      <c r="J6" s="132"/>
      <c r="K6" s="133"/>
      <c r="L6" s="133"/>
      <c r="M6" s="7" t="s">
        <v>2</v>
      </c>
      <c r="N6" s="7" t="s">
        <v>43</v>
      </c>
      <c r="O6" s="7" t="s">
        <v>2</v>
      </c>
      <c r="P6" s="7" t="s">
        <v>43</v>
      </c>
      <c r="Q6" s="7" t="s">
        <v>2</v>
      </c>
      <c r="R6" s="7" t="s">
        <v>43</v>
      </c>
      <c r="S6" s="8" t="s">
        <v>2</v>
      </c>
      <c r="T6" s="7" t="s">
        <v>48</v>
      </c>
      <c r="U6" s="7" t="s">
        <v>49</v>
      </c>
      <c r="V6" s="133"/>
      <c r="W6" s="133"/>
      <c r="X6" s="133"/>
    </row>
    <row r="7" spans="1:24" ht="18" customHeight="1" x14ac:dyDescent="0.25">
      <c r="A7" s="125" t="s">
        <v>8</v>
      </c>
      <c r="B7" s="125"/>
      <c r="C7" s="125"/>
      <c r="D7" s="125"/>
      <c r="E7" s="125"/>
      <c r="F7" s="125"/>
      <c r="G7" s="125"/>
      <c r="H7" s="125"/>
      <c r="I7" s="125"/>
      <c r="J7" s="125"/>
      <c r="K7" s="7"/>
      <c r="L7" s="7"/>
      <c r="M7" s="7"/>
      <c r="N7" s="7"/>
      <c r="O7" s="7"/>
      <c r="P7" s="7"/>
      <c r="Q7" s="7"/>
      <c r="R7" s="7"/>
      <c r="S7" s="8"/>
      <c r="T7" s="7"/>
      <c r="U7" s="7"/>
      <c r="V7" s="7"/>
      <c r="W7" s="7"/>
      <c r="X7" s="7"/>
    </row>
    <row r="8" spans="1:24" ht="15.75" x14ac:dyDescent="0.25">
      <c r="A8" s="9" t="s">
        <v>9</v>
      </c>
      <c r="B8" s="3" t="s">
        <v>10</v>
      </c>
      <c r="C8" s="60">
        <v>299429</v>
      </c>
      <c r="D8" s="60">
        <v>230433</v>
      </c>
      <c r="E8" s="60">
        <v>0</v>
      </c>
      <c r="F8" s="60">
        <v>0</v>
      </c>
      <c r="G8" s="60">
        <v>82</v>
      </c>
      <c r="H8" s="60">
        <v>167</v>
      </c>
      <c r="I8" s="60">
        <v>157</v>
      </c>
      <c r="J8" s="60">
        <v>41</v>
      </c>
      <c r="K8" s="60">
        <v>8983</v>
      </c>
      <c r="L8" s="60">
        <v>4829</v>
      </c>
      <c r="M8" s="60">
        <v>5715</v>
      </c>
      <c r="N8" s="60">
        <v>1697</v>
      </c>
      <c r="O8" s="60">
        <v>2768</v>
      </c>
      <c r="P8" s="60">
        <v>2656</v>
      </c>
      <c r="Q8" s="60">
        <v>500</v>
      </c>
      <c r="R8" s="60">
        <v>476</v>
      </c>
      <c r="S8" s="60">
        <v>1449</v>
      </c>
      <c r="T8" s="60">
        <v>120</v>
      </c>
      <c r="U8" s="60">
        <v>1329</v>
      </c>
      <c r="V8" s="60">
        <v>285</v>
      </c>
      <c r="W8" s="60">
        <v>0</v>
      </c>
      <c r="X8" s="60">
        <v>0</v>
      </c>
    </row>
    <row r="9" spans="1:24" ht="15.75" x14ac:dyDescent="0.25">
      <c r="A9" s="9" t="s">
        <v>12</v>
      </c>
      <c r="B9" s="5" t="s">
        <v>13</v>
      </c>
      <c r="C9" s="60">
        <v>241970</v>
      </c>
      <c r="D9" s="60">
        <v>200729</v>
      </c>
      <c r="E9" s="60">
        <v>0</v>
      </c>
      <c r="F9" s="60">
        <v>0</v>
      </c>
      <c r="G9" s="60">
        <v>23</v>
      </c>
      <c r="H9" s="60">
        <v>222</v>
      </c>
      <c r="I9" s="60">
        <v>144</v>
      </c>
      <c r="J9" s="60">
        <v>39</v>
      </c>
      <c r="K9" s="60">
        <v>346</v>
      </c>
      <c r="L9" s="60">
        <v>4</v>
      </c>
      <c r="M9" s="60">
        <v>204</v>
      </c>
      <c r="N9" s="60">
        <v>2</v>
      </c>
      <c r="O9" s="60">
        <v>140</v>
      </c>
      <c r="P9" s="60">
        <v>2</v>
      </c>
      <c r="Q9" s="60">
        <v>2</v>
      </c>
      <c r="R9" s="60">
        <v>0</v>
      </c>
      <c r="S9" s="60">
        <v>3</v>
      </c>
      <c r="T9" s="60">
        <v>1</v>
      </c>
      <c r="U9" s="61">
        <v>2</v>
      </c>
      <c r="V9" s="60">
        <v>82</v>
      </c>
      <c r="W9" s="60">
        <v>2</v>
      </c>
      <c r="X9" s="60">
        <v>0</v>
      </c>
    </row>
    <row r="10" spans="1:24" ht="15.75" x14ac:dyDescent="0.25">
      <c r="A10" s="9" t="s">
        <v>14</v>
      </c>
      <c r="B10" s="5" t="s">
        <v>15</v>
      </c>
      <c r="C10" s="60">
        <v>204944</v>
      </c>
      <c r="D10" s="60">
        <v>173724</v>
      </c>
      <c r="E10" s="60">
        <v>52</v>
      </c>
      <c r="F10" s="60">
        <v>0</v>
      </c>
      <c r="G10" s="60">
        <v>54</v>
      </c>
      <c r="H10" s="60">
        <v>734</v>
      </c>
      <c r="I10" s="60">
        <v>297</v>
      </c>
      <c r="J10" s="60">
        <v>1</v>
      </c>
      <c r="K10" s="60">
        <v>1226</v>
      </c>
      <c r="L10" s="60">
        <v>0</v>
      </c>
      <c r="M10" s="60">
        <v>941</v>
      </c>
      <c r="N10" s="60">
        <v>0</v>
      </c>
      <c r="O10" s="60">
        <v>18</v>
      </c>
      <c r="P10" s="60">
        <v>0</v>
      </c>
      <c r="Q10" s="60">
        <v>267</v>
      </c>
      <c r="R10" s="60">
        <v>0</v>
      </c>
      <c r="S10" s="60">
        <v>0</v>
      </c>
      <c r="T10" s="60">
        <v>0</v>
      </c>
      <c r="U10" s="60">
        <v>0</v>
      </c>
      <c r="V10" s="60">
        <v>148</v>
      </c>
      <c r="W10" s="60">
        <v>0</v>
      </c>
      <c r="X10" s="60">
        <v>0</v>
      </c>
    </row>
    <row r="11" spans="1:24" ht="15.75" x14ac:dyDescent="0.25">
      <c r="A11" s="9" t="s">
        <v>16</v>
      </c>
      <c r="B11" s="5" t="s">
        <v>17</v>
      </c>
      <c r="C11" s="60">
        <v>94894</v>
      </c>
      <c r="D11" s="60">
        <v>74802</v>
      </c>
      <c r="E11" s="60">
        <v>5</v>
      </c>
      <c r="F11" s="60">
        <v>0</v>
      </c>
      <c r="G11" s="60">
        <v>3</v>
      </c>
      <c r="H11" s="60">
        <v>14</v>
      </c>
      <c r="I11" s="60">
        <v>22</v>
      </c>
      <c r="J11" s="60">
        <v>9</v>
      </c>
      <c r="K11" s="60">
        <v>108</v>
      </c>
      <c r="L11" s="60">
        <v>1</v>
      </c>
      <c r="M11" s="60">
        <v>81</v>
      </c>
      <c r="N11" s="60">
        <v>0</v>
      </c>
      <c r="O11" s="60">
        <v>12</v>
      </c>
      <c r="P11" s="60">
        <v>1</v>
      </c>
      <c r="Q11" s="60">
        <v>15</v>
      </c>
      <c r="R11" s="60">
        <v>0</v>
      </c>
      <c r="S11" s="60">
        <v>45</v>
      </c>
      <c r="T11" s="60">
        <v>0</v>
      </c>
      <c r="U11" s="60">
        <v>0</v>
      </c>
      <c r="V11" s="60">
        <v>12</v>
      </c>
      <c r="W11" s="60">
        <v>0</v>
      </c>
      <c r="X11" s="60">
        <v>0</v>
      </c>
    </row>
    <row r="12" spans="1:24" ht="15.75" x14ac:dyDescent="0.25">
      <c r="A12" s="9" t="s">
        <v>18</v>
      </c>
      <c r="B12" s="5" t="s">
        <v>19</v>
      </c>
      <c r="C12" s="60">
        <v>73137</v>
      </c>
      <c r="D12" s="60">
        <v>22704</v>
      </c>
      <c r="E12" s="60">
        <v>1</v>
      </c>
      <c r="F12" s="60">
        <v>0</v>
      </c>
      <c r="G12" s="60">
        <v>22</v>
      </c>
      <c r="H12" s="60">
        <v>77</v>
      </c>
      <c r="I12" s="60">
        <v>46</v>
      </c>
      <c r="J12" s="60">
        <v>64</v>
      </c>
      <c r="K12" s="60">
        <v>334</v>
      </c>
      <c r="L12" s="60">
        <v>209</v>
      </c>
      <c r="M12" s="60">
        <v>231</v>
      </c>
      <c r="N12" s="60">
        <v>130</v>
      </c>
      <c r="O12" s="60">
        <v>103</v>
      </c>
      <c r="P12" s="60">
        <v>79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60</v>
      </c>
      <c r="W12" s="60">
        <v>0</v>
      </c>
      <c r="X12" s="60">
        <v>0</v>
      </c>
    </row>
    <row r="13" spans="1:24" ht="15.75" x14ac:dyDescent="0.25">
      <c r="A13" s="9" t="s">
        <v>20</v>
      </c>
      <c r="B13" s="5" t="s">
        <v>21</v>
      </c>
      <c r="C13" s="60">
        <v>150479</v>
      </c>
      <c r="D13" s="60">
        <v>111240</v>
      </c>
      <c r="E13" s="60">
        <v>0</v>
      </c>
      <c r="F13" s="60">
        <v>0</v>
      </c>
      <c r="G13" s="60">
        <v>11</v>
      </c>
      <c r="H13" s="60">
        <v>310</v>
      </c>
      <c r="I13" s="60">
        <v>228</v>
      </c>
      <c r="J13" s="60">
        <v>11</v>
      </c>
      <c r="K13" s="60">
        <v>773</v>
      </c>
      <c r="L13" s="60">
        <v>563</v>
      </c>
      <c r="M13" s="60">
        <v>378</v>
      </c>
      <c r="N13" s="60">
        <v>260</v>
      </c>
      <c r="O13" s="60">
        <v>383</v>
      </c>
      <c r="P13" s="60">
        <v>297</v>
      </c>
      <c r="Q13" s="60">
        <v>12</v>
      </c>
      <c r="R13" s="60">
        <v>6</v>
      </c>
      <c r="S13" s="60">
        <v>0</v>
      </c>
      <c r="T13" s="60">
        <v>0</v>
      </c>
      <c r="U13" s="60">
        <v>0</v>
      </c>
      <c r="V13" s="60">
        <v>254</v>
      </c>
      <c r="W13" s="60">
        <v>10</v>
      </c>
      <c r="X13" s="60">
        <v>1</v>
      </c>
    </row>
    <row r="14" spans="1:24" ht="15.75" x14ac:dyDescent="0.25">
      <c r="A14" s="9" t="s">
        <v>22</v>
      </c>
      <c r="B14" s="5" t="s">
        <v>23</v>
      </c>
      <c r="C14" s="60">
        <v>243519</v>
      </c>
      <c r="D14" s="60">
        <v>183778</v>
      </c>
      <c r="E14" s="60">
        <v>0</v>
      </c>
      <c r="F14" s="60">
        <v>0</v>
      </c>
      <c r="G14" s="60">
        <v>20</v>
      </c>
      <c r="H14" s="60">
        <v>762</v>
      </c>
      <c r="I14" s="60">
        <v>713</v>
      </c>
      <c r="J14" s="60">
        <v>22</v>
      </c>
      <c r="K14" s="60">
        <v>2029</v>
      </c>
      <c r="L14" s="60">
        <v>1675</v>
      </c>
      <c r="M14" s="60">
        <v>1661</v>
      </c>
      <c r="N14" s="60">
        <v>1386</v>
      </c>
      <c r="O14" s="60">
        <v>101</v>
      </c>
      <c r="P14" s="60">
        <v>22</v>
      </c>
      <c r="Q14" s="60">
        <v>267</v>
      </c>
      <c r="R14" s="60">
        <v>267</v>
      </c>
      <c r="S14" s="60">
        <v>119</v>
      </c>
      <c r="T14" s="60">
        <v>119</v>
      </c>
      <c r="U14" s="60">
        <v>0</v>
      </c>
      <c r="V14" s="60">
        <v>545</v>
      </c>
      <c r="W14" s="60">
        <v>0</v>
      </c>
      <c r="X14" s="60">
        <v>0</v>
      </c>
    </row>
    <row r="15" spans="1:24" ht="15.75" x14ac:dyDescent="0.25">
      <c r="A15" s="124" t="s">
        <v>24</v>
      </c>
      <c r="B15" s="124"/>
      <c r="C15" s="57">
        <f>SUM(C8:C14)</f>
        <v>1308372</v>
      </c>
      <c r="D15" s="57">
        <f>SUM(D8:D14)</f>
        <v>997410</v>
      </c>
      <c r="E15" s="57">
        <f>SUM(E8:E14)</f>
        <v>58</v>
      </c>
      <c r="F15" s="57">
        <v>0</v>
      </c>
      <c r="G15" s="57">
        <f t="shared" ref="G15:R15" si="0">SUM(G8:G14)</f>
        <v>215</v>
      </c>
      <c r="H15" s="57">
        <f t="shared" si="0"/>
        <v>2286</v>
      </c>
      <c r="I15" s="57">
        <f t="shared" si="0"/>
        <v>1607</v>
      </c>
      <c r="J15" s="57">
        <f t="shared" si="0"/>
        <v>187</v>
      </c>
      <c r="K15" s="62">
        <f t="shared" si="0"/>
        <v>13799</v>
      </c>
      <c r="L15" s="62">
        <f t="shared" si="0"/>
        <v>7281</v>
      </c>
      <c r="M15" s="62">
        <f t="shared" si="0"/>
        <v>9211</v>
      </c>
      <c r="N15" s="62">
        <f t="shared" si="0"/>
        <v>3475</v>
      </c>
      <c r="O15" s="62">
        <f t="shared" si="0"/>
        <v>3525</v>
      </c>
      <c r="P15" s="62">
        <f t="shared" si="0"/>
        <v>3057</v>
      </c>
      <c r="Q15" s="62">
        <f t="shared" si="0"/>
        <v>1063</v>
      </c>
      <c r="R15" s="62">
        <f t="shared" si="0"/>
        <v>749</v>
      </c>
      <c r="S15" s="62">
        <f t="shared" ref="S15:X15" si="1">SUM(S8:S14)</f>
        <v>1616</v>
      </c>
      <c r="T15" s="62">
        <f t="shared" si="1"/>
        <v>240</v>
      </c>
      <c r="U15" s="62">
        <f t="shared" si="1"/>
        <v>1331</v>
      </c>
      <c r="V15" s="62">
        <f t="shared" si="1"/>
        <v>1386</v>
      </c>
      <c r="W15" s="62">
        <f t="shared" si="1"/>
        <v>12</v>
      </c>
      <c r="X15" s="62">
        <f t="shared" si="1"/>
        <v>1</v>
      </c>
    </row>
    <row r="16" spans="1:24" ht="15.75" x14ac:dyDescent="0.25">
      <c r="A16" s="124" t="s">
        <v>25</v>
      </c>
      <c r="B16" s="124"/>
      <c r="C16" s="57">
        <f>(C15/7)</f>
        <v>186910.28571428571</v>
      </c>
      <c r="D16" s="57">
        <f>(D15/7)</f>
        <v>142487.14285714287</v>
      </c>
      <c r="E16" s="57">
        <f>E15/7</f>
        <v>8.2857142857142865</v>
      </c>
      <c r="F16" s="57">
        <v>0</v>
      </c>
      <c r="G16" s="57">
        <f t="shared" ref="G16:X16" si="2">G15/7</f>
        <v>30.714285714285715</v>
      </c>
      <c r="H16" s="57">
        <f t="shared" si="2"/>
        <v>326.57142857142856</v>
      </c>
      <c r="I16" s="57">
        <f t="shared" si="2"/>
        <v>229.57142857142858</v>
      </c>
      <c r="J16" s="57">
        <f t="shared" si="2"/>
        <v>26.714285714285715</v>
      </c>
      <c r="K16" s="62">
        <f t="shared" si="2"/>
        <v>1971.2857142857142</v>
      </c>
      <c r="L16" s="62">
        <f t="shared" si="2"/>
        <v>1040.1428571428571</v>
      </c>
      <c r="M16" s="62">
        <f t="shared" si="2"/>
        <v>1315.8571428571429</v>
      </c>
      <c r="N16" s="62">
        <f t="shared" si="2"/>
        <v>496.42857142857144</v>
      </c>
      <c r="O16" s="62">
        <f t="shared" si="2"/>
        <v>503.57142857142856</v>
      </c>
      <c r="P16" s="62">
        <f t="shared" si="2"/>
        <v>436.71428571428572</v>
      </c>
      <c r="Q16" s="62">
        <f t="shared" si="2"/>
        <v>151.85714285714286</v>
      </c>
      <c r="R16" s="62">
        <f t="shared" si="2"/>
        <v>107</v>
      </c>
      <c r="S16" s="62">
        <f t="shared" si="2"/>
        <v>230.85714285714286</v>
      </c>
      <c r="T16" s="62">
        <f t="shared" si="2"/>
        <v>34.285714285714285</v>
      </c>
      <c r="U16" s="62">
        <f t="shared" si="2"/>
        <v>190.14285714285714</v>
      </c>
      <c r="V16" s="62">
        <f t="shared" si="2"/>
        <v>198</v>
      </c>
      <c r="W16" s="62">
        <f t="shared" si="2"/>
        <v>1.7142857142857142</v>
      </c>
      <c r="X16" s="62">
        <f t="shared" si="2"/>
        <v>0.14285714285714285</v>
      </c>
    </row>
    <row r="17" spans="1:24" ht="19.5" customHeight="1" x14ac:dyDescent="0.25">
      <c r="A17" s="125" t="s">
        <v>26</v>
      </c>
      <c r="B17" s="125"/>
      <c r="C17" s="125"/>
      <c r="D17" s="125"/>
      <c r="E17" s="125"/>
      <c r="F17" s="125"/>
      <c r="G17" s="125"/>
      <c r="H17" s="125"/>
      <c r="I17" s="125"/>
      <c r="J17" s="125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5.75" x14ac:dyDescent="0.25">
      <c r="A18" s="4" t="s">
        <v>9</v>
      </c>
      <c r="B18" s="5" t="s">
        <v>27</v>
      </c>
      <c r="C18" s="55">
        <v>209065</v>
      </c>
      <c r="D18" s="55">
        <v>154759</v>
      </c>
      <c r="E18" s="55">
        <v>331</v>
      </c>
      <c r="F18" s="55">
        <v>0</v>
      </c>
      <c r="G18" s="55">
        <v>21</v>
      </c>
      <c r="H18" s="55">
        <v>117</v>
      </c>
      <c r="I18" s="55">
        <v>102</v>
      </c>
      <c r="J18" s="55">
        <v>6</v>
      </c>
      <c r="K18" s="69">
        <v>803</v>
      </c>
      <c r="L18" s="69">
        <v>703</v>
      </c>
      <c r="M18" s="69">
        <v>606</v>
      </c>
      <c r="N18" s="69">
        <v>508</v>
      </c>
      <c r="O18" s="69">
        <v>80</v>
      </c>
      <c r="P18" s="69">
        <v>80</v>
      </c>
      <c r="Q18" s="69">
        <v>117</v>
      </c>
      <c r="R18" s="69">
        <v>115</v>
      </c>
      <c r="S18" s="69">
        <v>0</v>
      </c>
      <c r="T18" s="69">
        <v>0</v>
      </c>
      <c r="U18" s="69">
        <v>0</v>
      </c>
      <c r="V18" s="69">
        <v>82</v>
      </c>
      <c r="W18" s="69">
        <v>0</v>
      </c>
      <c r="X18" s="69">
        <v>2</v>
      </c>
    </row>
    <row r="19" spans="1:24" ht="15.75" x14ac:dyDescent="0.25">
      <c r="A19" s="4" t="s">
        <v>12</v>
      </c>
      <c r="B19" s="5" t="s">
        <v>28</v>
      </c>
      <c r="C19" s="55">
        <v>102281</v>
      </c>
      <c r="D19" s="55">
        <v>70052</v>
      </c>
      <c r="E19" s="55">
        <v>0</v>
      </c>
      <c r="F19" s="55">
        <v>0</v>
      </c>
      <c r="G19" s="55">
        <v>1</v>
      </c>
      <c r="H19" s="55">
        <v>267</v>
      </c>
      <c r="I19" s="55">
        <v>229</v>
      </c>
      <c r="J19" s="65">
        <v>1</v>
      </c>
      <c r="K19" s="70">
        <v>173</v>
      </c>
      <c r="L19" s="70">
        <v>0</v>
      </c>
      <c r="M19" s="70">
        <v>108</v>
      </c>
      <c r="N19" s="70">
        <v>0</v>
      </c>
      <c r="O19" s="70">
        <v>39</v>
      </c>
      <c r="P19" s="70">
        <v>0</v>
      </c>
      <c r="Q19" s="70">
        <v>26</v>
      </c>
      <c r="R19" s="70">
        <v>0</v>
      </c>
      <c r="S19" s="70">
        <v>0</v>
      </c>
      <c r="T19" s="70">
        <v>0</v>
      </c>
      <c r="U19" s="70">
        <v>0</v>
      </c>
      <c r="V19" s="70">
        <v>0</v>
      </c>
      <c r="W19" s="70">
        <v>0</v>
      </c>
      <c r="X19" s="70">
        <v>0</v>
      </c>
    </row>
    <row r="20" spans="1:24" ht="15.75" x14ac:dyDescent="0.25">
      <c r="A20" s="4" t="s">
        <v>14</v>
      </c>
      <c r="B20" s="5" t="s">
        <v>29</v>
      </c>
      <c r="C20" s="55">
        <v>180587</v>
      </c>
      <c r="D20" s="55">
        <v>150749</v>
      </c>
      <c r="E20" s="55">
        <v>159</v>
      </c>
      <c r="F20" s="55">
        <v>0</v>
      </c>
      <c r="G20" s="55">
        <v>2</v>
      </c>
      <c r="H20" s="55">
        <v>102</v>
      </c>
      <c r="I20" s="55">
        <v>91</v>
      </c>
      <c r="J20" s="65">
        <v>17</v>
      </c>
      <c r="K20" s="70">
        <v>539</v>
      </c>
      <c r="L20" s="70">
        <v>75</v>
      </c>
      <c r="M20" s="70">
        <v>497</v>
      </c>
      <c r="N20" s="70">
        <v>52</v>
      </c>
      <c r="O20" s="70">
        <v>6</v>
      </c>
      <c r="P20" s="70">
        <v>3</v>
      </c>
      <c r="Q20" s="70">
        <v>36</v>
      </c>
      <c r="R20" s="117">
        <v>20</v>
      </c>
      <c r="S20" s="70">
        <v>1</v>
      </c>
      <c r="T20" s="70">
        <v>0</v>
      </c>
      <c r="U20" s="70">
        <v>0</v>
      </c>
      <c r="V20" s="70">
        <v>50</v>
      </c>
      <c r="W20" s="70">
        <v>0</v>
      </c>
      <c r="X20" s="70">
        <v>2</v>
      </c>
    </row>
    <row r="21" spans="1:24" ht="15.75" x14ac:dyDescent="0.25">
      <c r="A21" s="4" t="s">
        <v>16</v>
      </c>
      <c r="B21" s="5" t="s">
        <v>30</v>
      </c>
      <c r="C21" s="55">
        <v>243026</v>
      </c>
      <c r="D21" s="55">
        <v>167241</v>
      </c>
      <c r="E21" s="55">
        <v>300</v>
      </c>
      <c r="F21" s="55">
        <v>0</v>
      </c>
      <c r="G21" s="55">
        <v>177</v>
      </c>
      <c r="H21" s="55">
        <v>363</v>
      </c>
      <c r="I21" s="55">
        <v>355</v>
      </c>
      <c r="J21" s="65">
        <v>6</v>
      </c>
      <c r="K21" s="70">
        <v>3095</v>
      </c>
      <c r="L21" s="70">
        <v>1387</v>
      </c>
      <c r="M21" s="70">
        <v>2769</v>
      </c>
      <c r="N21" s="70">
        <v>1061</v>
      </c>
      <c r="O21" s="70">
        <v>0</v>
      </c>
      <c r="P21" s="70">
        <v>0</v>
      </c>
      <c r="Q21" s="70">
        <v>326</v>
      </c>
      <c r="R21" s="117">
        <v>326</v>
      </c>
      <c r="S21" s="70">
        <v>62</v>
      </c>
      <c r="T21" s="70">
        <v>0</v>
      </c>
      <c r="U21" s="70">
        <v>62</v>
      </c>
      <c r="V21" s="70">
        <v>166</v>
      </c>
      <c r="W21" s="70">
        <v>0</v>
      </c>
      <c r="X21" s="70">
        <v>0</v>
      </c>
    </row>
    <row r="22" spans="1:24" ht="15.75" x14ac:dyDescent="0.25">
      <c r="A22" s="124" t="s">
        <v>24</v>
      </c>
      <c r="B22" s="124"/>
      <c r="C22" s="56">
        <f>SUM(C18:C21)</f>
        <v>734959</v>
      </c>
      <c r="D22" s="56">
        <f>SUM(D18:D21)</f>
        <v>542801</v>
      </c>
      <c r="E22" s="56">
        <f>SUM(E18:E21)</f>
        <v>790</v>
      </c>
      <c r="F22" s="56">
        <v>0</v>
      </c>
      <c r="G22" s="56">
        <f t="shared" ref="G22:R22" si="3">SUM(G18:G21)</f>
        <v>201</v>
      </c>
      <c r="H22" s="56">
        <f t="shared" si="3"/>
        <v>849</v>
      </c>
      <c r="I22" s="56">
        <f t="shared" si="3"/>
        <v>777</v>
      </c>
      <c r="J22" s="66">
        <f t="shared" si="3"/>
        <v>30</v>
      </c>
      <c r="K22" s="56">
        <f t="shared" si="3"/>
        <v>4610</v>
      </c>
      <c r="L22" s="56">
        <f t="shared" si="3"/>
        <v>2165</v>
      </c>
      <c r="M22" s="56">
        <f t="shared" si="3"/>
        <v>3980</v>
      </c>
      <c r="N22" s="56">
        <f t="shared" si="3"/>
        <v>1621</v>
      </c>
      <c r="O22" s="56">
        <f t="shared" si="3"/>
        <v>125</v>
      </c>
      <c r="P22" s="56">
        <f t="shared" si="3"/>
        <v>83</v>
      </c>
      <c r="Q22" s="56">
        <f t="shared" si="3"/>
        <v>505</v>
      </c>
      <c r="R22" s="56">
        <f t="shared" si="3"/>
        <v>461</v>
      </c>
      <c r="S22" s="56">
        <f t="shared" ref="S22:X22" si="4">SUM(S18:S21)</f>
        <v>63</v>
      </c>
      <c r="T22" s="56">
        <f t="shared" si="4"/>
        <v>0</v>
      </c>
      <c r="U22" s="72">
        <f t="shared" si="4"/>
        <v>62</v>
      </c>
      <c r="V22" s="56">
        <f t="shared" si="4"/>
        <v>298</v>
      </c>
      <c r="W22" s="56">
        <f t="shared" si="4"/>
        <v>0</v>
      </c>
      <c r="X22" s="56">
        <f t="shared" si="4"/>
        <v>4</v>
      </c>
    </row>
    <row r="23" spans="1:24" ht="15.75" customHeight="1" x14ac:dyDescent="0.25">
      <c r="A23" s="124" t="s">
        <v>25</v>
      </c>
      <c r="B23" s="124"/>
      <c r="C23" s="57">
        <f>C22/4</f>
        <v>183739.75</v>
      </c>
      <c r="D23" s="57">
        <f>D22/4</f>
        <v>135700.25</v>
      </c>
      <c r="E23" s="57">
        <f>E22/4</f>
        <v>197.5</v>
      </c>
      <c r="F23" s="57">
        <v>0</v>
      </c>
      <c r="G23" s="57">
        <f t="shared" ref="G23:S23" si="5">G22/4</f>
        <v>50.25</v>
      </c>
      <c r="H23" s="57">
        <f t="shared" si="5"/>
        <v>212.25</v>
      </c>
      <c r="I23" s="57">
        <f t="shared" si="5"/>
        <v>194.25</v>
      </c>
      <c r="J23" s="67">
        <f t="shared" si="5"/>
        <v>7.5</v>
      </c>
      <c r="K23" s="57">
        <f t="shared" si="5"/>
        <v>1152.5</v>
      </c>
      <c r="L23" s="57">
        <f t="shared" si="5"/>
        <v>541.25</v>
      </c>
      <c r="M23" s="57">
        <f t="shared" si="5"/>
        <v>995</v>
      </c>
      <c r="N23" s="57">
        <f t="shared" si="5"/>
        <v>405.25</v>
      </c>
      <c r="O23" s="57">
        <f t="shared" si="5"/>
        <v>31.25</v>
      </c>
      <c r="P23" s="57">
        <f t="shared" si="5"/>
        <v>20.75</v>
      </c>
      <c r="Q23" s="57">
        <f t="shared" si="5"/>
        <v>126.25</v>
      </c>
      <c r="R23" s="57">
        <f t="shared" si="5"/>
        <v>115.25</v>
      </c>
      <c r="S23" s="57">
        <f t="shared" si="5"/>
        <v>15.75</v>
      </c>
      <c r="T23" s="57">
        <v>0</v>
      </c>
      <c r="U23" s="57">
        <f>U22/4</f>
        <v>15.5</v>
      </c>
      <c r="V23" s="57">
        <f>V22/4</f>
        <v>74.5</v>
      </c>
      <c r="W23" s="57">
        <v>0</v>
      </c>
      <c r="X23" s="57">
        <f>X22/4</f>
        <v>1</v>
      </c>
    </row>
    <row r="24" spans="1:24" ht="33.75" customHeight="1" x14ac:dyDescent="0.25">
      <c r="A24" s="131" t="s">
        <v>31</v>
      </c>
      <c r="B24" s="131"/>
      <c r="C24" s="63">
        <f>SUM(C15,C22)</f>
        <v>2043331</v>
      </c>
      <c r="D24" s="63">
        <f>SUM(D15,D22)</f>
        <v>1540211</v>
      </c>
      <c r="E24" s="63">
        <f>SUM(E15,E22)</f>
        <v>848</v>
      </c>
      <c r="F24" s="63">
        <v>0</v>
      </c>
      <c r="G24" s="63">
        <f t="shared" ref="G24:R24" si="6">SUM(G15,G22)</f>
        <v>416</v>
      </c>
      <c r="H24" s="63">
        <f t="shared" si="6"/>
        <v>3135</v>
      </c>
      <c r="I24" s="63">
        <f t="shared" si="6"/>
        <v>2384</v>
      </c>
      <c r="J24" s="68">
        <f t="shared" si="6"/>
        <v>217</v>
      </c>
      <c r="K24" s="71">
        <f t="shared" si="6"/>
        <v>18409</v>
      </c>
      <c r="L24" s="71">
        <f t="shared" si="6"/>
        <v>9446</v>
      </c>
      <c r="M24" s="71">
        <f t="shared" si="6"/>
        <v>13191</v>
      </c>
      <c r="N24" s="71">
        <f t="shared" si="6"/>
        <v>5096</v>
      </c>
      <c r="O24" s="71">
        <f t="shared" si="6"/>
        <v>3650</v>
      </c>
      <c r="P24" s="71">
        <f t="shared" si="6"/>
        <v>3140</v>
      </c>
      <c r="Q24" s="71">
        <f t="shared" si="6"/>
        <v>1568</v>
      </c>
      <c r="R24" s="71">
        <f t="shared" si="6"/>
        <v>1210</v>
      </c>
      <c r="S24" s="71">
        <f t="shared" ref="S24:X24" si="7">SUM(S15,S22)</f>
        <v>1679</v>
      </c>
      <c r="T24" s="71">
        <f t="shared" si="7"/>
        <v>240</v>
      </c>
      <c r="U24" s="71">
        <f t="shared" si="7"/>
        <v>1393</v>
      </c>
      <c r="V24" s="71">
        <f t="shared" si="7"/>
        <v>1684</v>
      </c>
      <c r="W24" s="71">
        <f t="shared" si="7"/>
        <v>12</v>
      </c>
      <c r="X24" s="71">
        <f t="shared" si="7"/>
        <v>5</v>
      </c>
    </row>
    <row r="25" spans="1:24" ht="35.25" customHeight="1" x14ac:dyDescent="0.25">
      <c r="A25" s="131" t="s">
        <v>32</v>
      </c>
      <c r="B25" s="131"/>
      <c r="C25" s="64">
        <f>C24/11</f>
        <v>185757.36363636365</v>
      </c>
      <c r="D25" s="64">
        <f>D24/11</f>
        <v>140019.18181818182</v>
      </c>
      <c r="E25" s="64">
        <f>E24/11</f>
        <v>77.090909090909093</v>
      </c>
      <c r="F25" s="64">
        <v>0</v>
      </c>
      <c r="G25" s="64">
        <f t="shared" ref="G25:X25" si="8">G24/11</f>
        <v>37.81818181818182</v>
      </c>
      <c r="H25" s="64">
        <f t="shared" si="8"/>
        <v>285</v>
      </c>
      <c r="I25" s="64">
        <f t="shared" si="8"/>
        <v>216.72727272727272</v>
      </c>
      <c r="J25" s="64">
        <f t="shared" si="8"/>
        <v>19.727272727272727</v>
      </c>
      <c r="K25" s="64">
        <f t="shared" si="8"/>
        <v>1673.5454545454545</v>
      </c>
      <c r="L25" s="64">
        <f t="shared" si="8"/>
        <v>858.72727272727275</v>
      </c>
      <c r="M25" s="64">
        <f t="shared" si="8"/>
        <v>1199.1818181818182</v>
      </c>
      <c r="N25" s="64">
        <f t="shared" si="8"/>
        <v>463.27272727272725</v>
      </c>
      <c r="O25" s="64">
        <f t="shared" si="8"/>
        <v>331.81818181818181</v>
      </c>
      <c r="P25" s="64">
        <f t="shared" si="8"/>
        <v>285.45454545454544</v>
      </c>
      <c r="Q25" s="64">
        <f t="shared" si="8"/>
        <v>142.54545454545453</v>
      </c>
      <c r="R25" s="64">
        <f t="shared" si="8"/>
        <v>110</v>
      </c>
      <c r="S25" s="64">
        <f t="shared" si="8"/>
        <v>152.63636363636363</v>
      </c>
      <c r="T25" s="64">
        <f t="shared" si="8"/>
        <v>21.818181818181817</v>
      </c>
      <c r="U25" s="64">
        <f t="shared" si="8"/>
        <v>126.63636363636364</v>
      </c>
      <c r="V25" s="64">
        <f t="shared" si="8"/>
        <v>153.09090909090909</v>
      </c>
      <c r="W25" s="64">
        <f t="shared" si="8"/>
        <v>1.0909090909090908</v>
      </c>
      <c r="X25" s="64">
        <f t="shared" si="8"/>
        <v>0.45454545454545453</v>
      </c>
    </row>
    <row r="26" spans="1:24" x14ac:dyDescent="0.25"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</row>
  </sheetData>
  <mergeCells count="27">
    <mergeCell ref="A2:X2"/>
    <mergeCell ref="A4:A6"/>
    <mergeCell ref="B4:B6"/>
    <mergeCell ref="C4:D5"/>
    <mergeCell ref="E4:E6"/>
    <mergeCell ref="F4:F6"/>
    <mergeCell ref="G4:G6"/>
    <mergeCell ref="H4:I5"/>
    <mergeCell ref="J4:J6"/>
    <mergeCell ref="K4:R4"/>
    <mergeCell ref="S4:U5"/>
    <mergeCell ref="V4:V6"/>
    <mergeCell ref="W4:W6"/>
    <mergeCell ref="X4:X6"/>
    <mergeCell ref="K5:K6"/>
    <mergeCell ref="L5:L6"/>
    <mergeCell ref="M5:N5"/>
    <mergeCell ref="O5:P5"/>
    <mergeCell ref="Q5:R5"/>
    <mergeCell ref="A24:B24"/>
    <mergeCell ref="A25:B25"/>
    <mergeCell ref="A7:J7"/>
    <mergeCell ref="A15:B15"/>
    <mergeCell ref="A16:B16"/>
    <mergeCell ref="A17:J17"/>
    <mergeCell ref="A22:B22"/>
    <mergeCell ref="A23:B23"/>
  </mergeCells>
  <pageMargins left="0.70000000000000007" right="0.70000000000000007" top="0.75" bottom="0.75" header="0.30000000000000004" footer="0.30000000000000004"/>
  <pageSetup fitToWidth="0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5"/>
  <sheetViews>
    <sheetView topLeftCell="A10" workbookViewId="0">
      <selection activeCell="T18" sqref="T18"/>
    </sheetView>
  </sheetViews>
  <sheetFormatPr defaultRowHeight="15" x14ac:dyDescent="0.25"/>
  <cols>
    <col min="1" max="1" width="5.42578125" customWidth="1"/>
    <col min="2" max="2" width="27.28515625" customWidth="1"/>
    <col min="5" max="5" width="8.5703125" customWidth="1"/>
    <col min="17" max="18" width="9.140625" customWidth="1"/>
  </cols>
  <sheetData>
    <row r="2" spans="1:18" ht="15.75" x14ac:dyDescent="0.25">
      <c r="A2" s="134" t="s">
        <v>92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</row>
    <row r="4" spans="1:18" ht="15" customHeight="1" x14ac:dyDescent="0.25">
      <c r="A4" s="135" t="s">
        <v>0</v>
      </c>
      <c r="B4" s="135" t="s">
        <v>1</v>
      </c>
      <c r="C4" s="138" t="s">
        <v>93</v>
      </c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9" t="s">
        <v>94</v>
      </c>
      <c r="P4" s="140"/>
      <c r="Q4" s="140"/>
      <c r="R4" s="141"/>
    </row>
    <row r="5" spans="1:18" ht="15" customHeight="1" x14ac:dyDescent="0.25">
      <c r="A5" s="136"/>
      <c r="B5" s="136"/>
      <c r="C5" s="138" t="s">
        <v>2</v>
      </c>
      <c r="D5" s="138"/>
      <c r="E5" s="138"/>
      <c r="F5" s="138" t="s">
        <v>3</v>
      </c>
      <c r="G5" s="138"/>
      <c r="H5" s="138"/>
      <c r="I5" s="138" t="s">
        <v>51</v>
      </c>
      <c r="J5" s="138"/>
      <c r="K5" s="138"/>
      <c r="L5" s="138" t="s">
        <v>52</v>
      </c>
      <c r="M5" s="138"/>
      <c r="N5" s="138"/>
      <c r="O5" s="142"/>
      <c r="P5" s="143"/>
      <c r="Q5" s="143"/>
      <c r="R5" s="144"/>
    </row>
    <row r="6" spans="1:18" ht="15" customHeight="1" x14ac:dyDescent="0.25">
      <c r="A6" s="137"/>
      <c r="B6" s="137"/>
      <c r="C6" s="29" t="s">
        <v>6</v>
      </c>
      <c r="D6" s="29" t="s">
        <v>53</v>
      </c>
      <c r="E6" s="29" t="s">
        <v>54</v>
      </c>
      <c r="F6" s="29" t="s">
        <v>6</v>
      </c>
      <c r="G6" s="29" t="s">
        <v>53</v>
      </c>
      <c r="H6" s="29" t="s">
        <v>54</v>
      </c>
      <c r="I6" s="29" t="s">
        <v>6</v>
      </c>
      <c r="J6" s="29" t="s">
        <v>53</v>
      </c>
      <c r="K6" s="29" t="s">
        <v>54</v>
      </c>
      <c r="L6" s="29" t="s">
        <v>6</v>
      </c>
      <c r="M6" s="29" t="s">
        <v>53</v>
      </c>
      <c r="N6" s="29" t="s">
        <v>54</v>
      </c>
      <c r="O6" s="24" t="s">
        <v>2</v>
      </c>
      <c r="P6" s="24" t="s">
        <v>3</v>
      </c>
      <c r="Q6" s="24" t="s">
        <v>55</v>
      </c>
      <c r="R6" s="24" t="s">
        <v>56</v>
      </c>
    </row>
    <row r="7" spans="1:18" ht="15.75" x14ac:dyDescent="0.25">
      <c r="A7" s="148" t="s">
        <v>8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</row>
    <row r="8" spans="1:18" ht="15.75" x14ac:dyDescent="0.25">
      <c r="A8" s="17" t="s">
        <v>9</v>
      </c>
      <c r="B8" s="18" t="s">
        <v>10</v>
      </c>
      <c r="C8" s="13">
        <v>18245</v>
      </c>
      <c r="D8" s="13">
        <v>11985</v>
      </c>
      <c r="E8" s="14">
        <f>C8/O8</f>
        <v>5.8772178484454124E-2</v>
      </c>
      <c r="F8" s="79">
        <v>4430</v>
      </c>
      <c r="G8" s="79">
        <v>2531</v>
      </c>
      <c r="H8" s="83">
        <f>F8/P8</f>
        <v>4.5253491056561755E-2</v>
      </c>
      <c r="I8" s="79">
        <f>13217+598</f>
        <v>13815</v>
      </c>
      <c r="J8" s="79">
        <f>8987+467</f>
        <v>9454</v>
      </c>
      <c r="K8" s="83">
        <f>I8/Q8</f>
        <v>6.4994636707502967E-2</v>
      </c>
      <c r="L8" s="79" t="s">
        <v>11</v>
      </c>
      <c r="M8" s="79" t="s">
        <v>11</v>
      </c>
      <c r="N8" s="83" t="s">
        <v>11</v>
      </c>
      <c r="O8" s="54">
        <v>310436</v>
      </c>
      <c r="P8" s="53">
        <v>97893</v>
      </c>
      <c r="Q8" s="53">
        <f>12670+199886</f>
        <v>212556</v>
      </c>
      <c r="R8" s="53" t="s">
        <v>11</v>
      </c>
    </row>
    <row r="9" spans="1:18" ht="15.75" x14ac:dyDescent="0.25">
      <c r="A9" s="19" t="s">
        <v>12</v>
      </c>
      <c r="B9" s="20" t="s">
        <v>13</v>
      </c>
      <c r="C9" s="15">
        <v>20197</v>
      </c>
      <c r="D9" s="15">
        <v>13857</v>
      </c>
      <c r="E9" s="16">
        <f t="shared" ref="E9:E15" si="0">C9/O9</f>
        <v>8.3222422297032805E-2</v>
      </c>
      <c r="F9" s="50">
        <v>2368</v>
      </c>
      <c r="G9" s="50">
        <v>1139</v>
      </c>
      <c r="H9" s="84">
        <f t="shared" ref="H9:H15" si="1">F9/P9</f>
        <v>3.8895550335901183E-2</v>
      </c>
      <c r="I9" s="50">
        <v>1035</v>
      </c>
      <c r="J9" s="50">
        <v>740</v>
      </c>
      <c r="K9" s="84">
        <f>I9/Q9</f>
        <v>5.8296721865495102E-2</v>
      </c>
      <c r="L9" s="50">
        <v>16794</v>
      </c>
      <c r="M9" s="50">
        <v>11978</v>
      </c>
      <c r="N9" s="84">
        <f>L9/R9</f>
        <v>0.10236998025016458</v>
      </c>
      <c r="O9" s="55">
        <v>242687</v>
      </c>
      <c r="P9" s="53">
        <v>60881</v>
      </c>
      <c r="Q9" s="53">
        <v>17754</v>
      </c>
      <c r="R9" s="53">
        <v>164052</v>
      </c>
    </row>
    <row r="10" spans="1:18" ht="15.75" x14ac:dyDescent="0.25">
      <c r="A10" s="19" t="s">
        <v>14</v>
      </c>
      <c r="B10" s="20" t="s">
        <v>15</v>
      </c>
      <c r="C10" s="15">
        <v>9150</v>
      </c>
      <c r="D10" s="15">
        <v>7924</v>
      </c>
      <c r="E10" s="16">
        <f t="shared" si="0"/>
        <v>4.4168971659449989E-2</v>
      </c>
      <c r="F10" s="50">
        <v>2729</v>
      </c>
      <c r="G10" s="50">
        <v>1919</v>
      </c>
      <c r="H10" s="84">
        <f t="shared" si="1"/>
        <v>4.494326509774213E-2</v>
      </c>
      <c r="I10" s="50">
        <v>587</v>
      </c>
      <c r="J10" s="50">
        <v>551</v>
      </c>
      <c r="K10" s="84">
        <f>I10/Q10</f>
        <v>3.7095551061678465E-2</v>
      </c>
      <c r="L10" s="50">
        <v>5834</v>
      </c>
      <c r="M10" s="50">
        <v>5454</v>
      </c>
      <c r="N10" s="84">
        <f>L10/R10</f>
        <v>4.4665962301131582E-2</v>
      </c>
      <c r="O10" s="55">
        <v>207159</v>
      </c>
      <c r="P10" s="54">
        <v>60721</v>
      </c>
      <c r="Q10" s="54">
        <v>15824</v>
      </c>
      <c r="R10" s="54">
        <v>130614</v>
      </c>
    </row>
    <row r="11" spans="1:18" ht="15.75" x14ac:dyDescent="0.25">
      <c r="A11" s="19" t="s">
        <v>16</v>
      </c>
      <c r="B11" s="20" t="s">
        <v>17</v>
      </c>
      <c r="C11" s="15">
        <v>4185</v>
      </c>
      <c r="D11" s="15">
        <v>2406</v>
      </c>
      <c r="E11" s="16">
        <f t="shared" si="0"/>
        <v>4.4010937007045954E-2</v>
      </c>
      <c r="F11" s="50">
        <v>2141</v>
      </c>
      <c r="G11" s="50">
        <v>1314</v>
      </c>
      <c r="H11" s="84">
        <f t="shared" si="1"/>
        <v>5.2152096070932699E-2</v>
      </c>
      <c r="I11" s="50">
        <v>2044</v>
      </c>
      <c r="J11" s="50">
        <v>1092</v>
      </c>
      <c r="K11" s="84">
        <f>I11/Q11</f>
        <v>3.7825934082202937E-2</v>
      </c>
      <c r="L11" s="50" t="s">
        <v>11</v>
      </c>
      <c r="M11" s="50" t="s">
        <v>11</v>
      </c>
      <c r="N11" s="84" t="s">
        <v>11</v>
      </c>
      <c r="O11" s="55">
        <v>95090</v>
      </c>
      <c r="P11" s="55">
        <v>41053</v>
      </c>
      <c r="Q11" s="55">
        <v>54037</v>
      </c>
      <c r="R11" s="55" t="s">
        <v>11</v>
      </c>
    </row>
    <row r="12" spans="1:18" ht="15.75" x14ac:dyDescent="0.25">
      <c r="A12" s="19" t="s">
        <v>18</v>
      </c>
      <c r="B12" s="20" t="s">
        <v>19</v>
      </c>
      <c r="C12" s="15">
        <v>3453</v>
      </c>
      <c r="D12" s="15">
        <v>1547</v>
      </c>
      <c r="E12" s="16">
        <f t="shared" si="0"/>
        <v>4.68552819051496E-2</v>
      </c>
      <c r="F12" s="50">
        <v>3453</v>
      </c>
      <c r="G12" s="50">
        <v>1547</v>
      </c>
      <c r="H12" s="84">
        <f t="shared" si="1"/>
        <v>4.68552819051496E-2</v>
      </c>
      <c r="I12" s="50" t="s">
        <v>11</v>
      </c>
      <c r="J12" s="50" t="s">
        <v>11</v>
      </c>
      <c r="K12" s="84" t="s">
        <v>11</v>
      </c>
      <c r="L12" s="50" t="s">
        <v>11</v>
      </c>
      <c r="M12" s="50" t="s">
        <v>11</v>
      </c>
      <c r="N12" s="84" t="s">
        <v>11</v>
      </c>
      <c r="O12" s="55">
        <v>73695</v>
      </c>
      <c r="P12" s="55">
        <v>73695</v>
      </c>
      <c r="Q12" s="55" t="s">
        <v>11</v>
      </c>
      <c r="R12" s="55" t="s">
        <v>11</v>
      </c>
    </row>
    <row r="13" spans="1:18" ht="15.75" x14ac:dyDescent="0.25">
      <c r="A13" s="19" t="s">
        <v>20</v>
      </c>
      <c r="B13" s="20" t="s">
        <v>21</v>
      </c>
      <c r="C13" s="15">
        <v>5279</v>
      </c>
      <c r="D13" s="15">
        <v>4751</v>
      </c>
      <c r="E13" s="16">
        <f t="shared" si="0"/>
        <v>3.4764799241351604E-2</v>
      </c>
      <c r="F13" s="50">
        <v>1904</v>
      </c>
      <c r="G13" s="50">
        <v>1405</v>
      </c>
      <c r="H13" s="84">
        <f t="shared" si="1"/>
        <v>3.5271016264680821E-2</v>
      </c>
      <c r="I13" s="50">
        <v>241</v>
      </c>
      <c r="J13" s="50">
        <v>239</v>
      </c>
      <c r="K13" s="84">
        <f>I13/Q13</f>
        <v>5.2379917409258854E-2</v>
      </c>
      <c r="L13" s="50">
        <v>3134</v>
      </c>
      <c r="M13" s="50">
        <v>3107</v>
      </c>
      <c r="N13" s="84">
        <f>L13/R13</f>
        <v>3.3602813458280617E-2</v>
      </c>
      <c r="O13" s="55">
        <v>151849</v>
      </c>
      <c r="P13" s="55">
        <v>53982</v>
      </c>
      <c r="Q13" s="55">
        <v>4601</v>
      </c>
      <c r="R13" s="55">
        <v>93266</v>
      </c>
    </row>
    <row r="14" spans="1:18" ht="15.75" x14ac:dyDescent="0.25">
      <c r="A14" s="19" t="s">
        <v>22</v>
      </c>
      <c r="B14" s="20" t="s">
        <v>23</v>
      </c>
      <c r="C14" s="15">
        <v>13648</v>
      </c>
      <c r="D14" s="15">
        <v>8574</v>
      </c>
      <c r="E14" s="16">
        <f t="shared" si="0"/>
        <v>5.5251481685396897E-2</v>
      </c>
      <c r="F14" s="50">
        <v>2044</v>
      </c>
      <c r="G14" s="50">
        <v>1287</v>
      </c>
      <c r="H14" s="84">
        <f t="shared" si="1"/>
        <v>3.1482479784366579E-2</v>
      </c>
      <c r="I14" s="50" t="s">
        <v>11</v>
      </c>
      <c r="J14" s="50" t="s">
        <v>11</v>
      </c>
      <c r="K14" s="84" t="s">
        <v>11</v>
      </c>
      <c r="L14" s="50">
        <v>11604</v>
      </c>
      <c r="M14" s="50">
        <v>7287</v>
      </c>
      <c r="N14" s="84">
        <f>L14/R14</f>
        <v>6.3726378568957284E-2</v>
      </c>
      <c r="O14" s="55">
        <v>247016</v>
      </c>
      <c r="P14" s="55">
        <v>64925</v>
      </c>
      <c r="Q14" s="55" t="s">
        <v>11</v>
      </c>
      <c r="R14" s="55">
        <v>182091</v>
      </c>
    </row>
    <row r="15" spans="1:18" ht="15.75" x14ac:dyDescent="0.25">
      <c r="A15" s="152" t="s">
        <v>24</v>
      </c>
      <c r="B15" s="153"/>
      <c r="C15" s="23">
        <f>SUM(C8:C14)</f>
        <v>74157</v>
      </c>
      <c r="D15" s="23">
        <f>SUM(D8:D14)</f>
        <v>51044</v>
      </c>
      <c r="E15" s="11">
        <f t="shared" si="0"/>
        <v>5.5843973938424558E-2</v>
      </c>
      <c r="F15" s="80">
        <f>SUM(F8:F14)</f>
        <v>19069</v>
      </c>
      <c r="G15" s="80">
        <f>SUM(G8:G14)</f>
        <v>11142</v>
      </c>
      <c r="H15" s="85">
        <f t="shared" si="1"/>
        <v>4.2080988635109784E-2</v>
      </c>
      <c r="I15" s="80">
        <f>SUM(I8:I14)</f>
        <v>17722</v>
      </c>
      <c r="J15" s="80">
        <f>SUM(J8:J14)</f>
        <v>12076</v>
      </c>
      <c r="K15" s="85">
        <f>I15/Q15</f>
        <v>5.8148386334702665E-2</v>
      </c>
      <c r="L15" s="80">
        <f>SUM(L8:L14)</f>
        <v>37366</v>
      </c>
      <c r="M15" s="80">
        <f>SUM(M8:M14)</f>
        <v>27826</v>
      </c>
      <c r="N15" s="85">
        <f>L15/R15</f>
        <v>6.5551740894665658E-2</v>
      </c>
      <c r="O15" s="73">
        <f>SUM(O8:O14)</f>
        <v>1327932</v>
      </c>
      <c r="P15" s="75">
        <f t="shared" ref="P15" si="2">SUM(P8:P14)</f>
        <v>453150</v>
      </c>
      <c r="Q15" s="75">
        <f>SUM(Q8:Q14)</f>
        <v>304772</v>
      </c>
      <c r="R15" s="75">
        <f t="shared" ref="R15" si="3">SUM(R8:R14)</f>
        <v>570023</v>
      </c>
    </row>
    <row r="16" spans="1:18" ht="15.75" customHeight="1" x14ac:dyDescent="0.25">
      <c r="A16" s="145" t="s">
        <v>25</v>
      </c>
      <c r="B16" s="145"/>
      <c r="C16" s="25">
        <f>C15/7</f>
        <v>10593.857142857143</v>
      </c>
      <c r="D16" s="25">
        <f>D15/7</f>
        <v>7292</v>
      </c>
      <c r="E16" s="27"/>
      <c r="F16" s="81">
        <f>F15/7</f>
        <v>2724.1428571428573</v>
      </c>
      <c r="G16" s="81">
        <f>G15/7</f>
        <v>1591.7142857142858</v>
      </c>
      <c r="H16" s="86"/>
      <c r="I16" s="81">
        <f>I15/7</f>
        <v>2531.7142857142858</v>
      </c>
      <c r="J16" s="81">
        <f>J15/7</f>
        <v>1725.1428571428571</v>
      </c>
      <c r="K16" s="86"/>
      <c r="L16" s="81">
        <f>L15/7</f>
        <v>5338</v>
      </c>
      <c r="M16" s="81">
        <f>M15/7</f>
        <v>3975.1428571428573</v>
      </c>
      <c r="N16" s="86"/>
      <c r="O16" s="74">
        <f>O15/7</f>
        <v>189704.57142857142</v>
      </c>
      <c r="P16" s="74">
        <f>P15/7</f>
        <v>64735.714285714283</v>
      </c>
      <c r="Q16" s="74">
        <f>Q15/5</f>
        <v>60954.400000000001</v>
      </c>
      <c r="R16" s="74">
        <f>R15/4</f>
        <v>142505.75</v>
      </c>
    </row>
    <row r="17" spans="1:18" ht="16.5" customHeight="1" x14ac:dyDescent="0.25">
      <c r="A17" s="149" t="s">
        <v>57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1"/>
    </row>
    <row r="18" spans="1:18" ht="15.75" x14ac:dyDescent="0.25">
      <c r="A18" s="21" t="s">
        <v>9</v>
      </c>
      <c r="B18" s="22" t="s">
        <v>27</v>
      </c>
      <c r="C18" s="15">
        <v>17098</v>
      </c>
      <c r="D18" s="15">
        <v>7386</v>
      </c>
      <c r="E18" s="16">
        <f>C18/O18</f>
        <v>8.1253831495007769E-2</v>
      </c>
      <c r="F18" s="50">
        <v>3258</v>
      </c>
      <c r="G18" s="50">
        <v>2134</v>
      </c>
      <c r="H18" s="84">
        <f>F18/P18</f>
        <v>5.4452466907340555E-2</v>
      </c>
      <c r="I18" s="50">
        <v>690</v>
      </c>
      <c r="J18" s="50">
        <v>262</v>
      </c>
      <c r="K18" s="84">
        <f>I18/Q18</f>
        <v>6.3036725744564218E-2</v>
      </c>
      <c r="L18" s="50">
        <v>13150</v>
      </c>
      <c r="M18" s="50">
        <v>4990</v>
      </c>
      <c r="N18" s="84">
        <f>L18/R18</f>
        <v>9.4164655672435899E-2</v>
      </c>
      <c r="O18" s="55">
        <v>210427</v>
      </c>
      <c r="P18" s="55">
        <v>59832</v>
      </c>
      <c r="Q18" s="55">
        <v>10946</v>
      </c>
      <c r="R18" s="55">
        <v>139649</v>
      </c>
    </row>
    <row r="19" spans="1:18" ht="15.75" x14ac:dyDescent="0.25">
      <c r="A19" s="21" t="s">
        <v>12</v>
      </c>
      <c r="B19" s="20" t="s">
        <v>28</v>
      </c>
      <c r="C19" s="15">
        <v>6553</v>
      </c>
      <c r="D19" s="15">
        <v>2547</v>
      </c>
      <c r="E19" s="16">
        <f>C19/O19</f>
        <v>6.3792918820517311E-2</v>
      </c>
      <c r="F19" s="50">
        <v>1413</v>
      </c>
      <c r="G19" s="50">
        <v>581</v>
      </c>
      <c r="H19" s="84">
        <f>F19/P19</f>
        <v>3.9467068878833583E-2</v>
      </c>
      <c r="I19" s="50" t="s">
        <v>11</v>
      </c>
      <c r="J19" s="50" t="s">
        <v>11</v>
      </c>
      <c r="K19" s="84" t="s">
        <v>11</v>
      </c>
      <c r="L19" s="50">
        <v>5140</v>
      </c>
      <c r="M19" s="50">
        <v>1966</v>
      </c>
      <c r="N19" s="84">
        <f>L19/R19</f>
        <v>7.6806981366088378E-2</v>
      </c>
      <c r="O19" s="55">
        <v>102723</v>
      </c>
      <c r="P19" s="55">
        <v>35802</v>
      </c>
      <c r="Q19" s="55" t="s">
        <v>11</v>
      </c>
      <c r="R19" s="55">
        <v>66921</v>
      </c>
    </row>
    <row r="20" spans="1:18" ht="15.75" x14ac:dyDescent="0.25">
      <c r="A20" s="21" t="s">
        <v>14</v>
      </c>
      <c r="B20" s="20" t="s">
        <v>29</v>
      </c>
      <c r="C20" s="15">
        <v>10023</v>
      </c>
      <c r="D20" s="15">
        <v>5292</v>
      </c>
      <c r="E20" s="16">
        <f>C20/O20</f>
        <v>5.5235617963286472E-2</v>
      </c>
      <c r="F20" s="50">
        <v>1401</v>
      </c>
      <c r="G20" s="50">
        <v>504</v>
      </c>
      <c r="H20" s="84">
        <f>F20/P20</f>
        <v>3.4601136082983451E-2</v>
      </c>
      <c r="I20" s="50" t="s">
        <v>11</v>
      </c>
      <c r="J20" s="50" t="s">
        <v>11</v>
      </c>
      <c r="K20" s="84" t="s">
        <v>11</v>
      </c>
      <c r="L20" s="50">
        <v>8622</v>
      </c>
      <c r="M20" s="50">
        <v>4788</v>
      </c>
      <c r="N20" s="84">
        <f>L20/R20</f>
        <v>6.1162383219005599E-2</v>
      </c>
      <c r="O20" s="55">
        <v>181459</v>
      </c>
      <c r="P20" s="55">
        <v>40490</v>
      </c>
      <c r="Q20" s="55" t="s">
        <v>11</v>
      </c>
      <c r="R20" s="55">
        <v>140969</v>
      </c>
    </row>
    <row r="21" spans="1:18" ht="15" customHeight="1" x14ac:dyDescent="0.25">
      <c r="A21" s="21" t="s">
        <v>16</v>
      </c>
      <c r="B21" s="20" t="s">
        <v>30</v>
      </c>
      <c r="C21" s="26">
        <v>13442</v>
      </c>
      <c r="D21" s="26">
        <v>9250</v>
      </c>
      <c r="E21" s="16">
        <f>C21/O21</f>
        <v>5.4378122534840916E-2</v>
      </c>
      <c r="F21" s="26">
        <v>3037</v>
      </c>
      <c r="G21" s="26">
        <v>1819</v>
      </c>
      <c r="H21" s="84">
        <f>F21/P21</f>
        <v>4.0632567598303519E-2</v>
      </c>
      <c r="I21" s="26">
        <v>1349</v>
      </c>
      <c r="J21" s="26">
        <v>1007</v>
      </c>
      <c r="K21" s="84">
        <f>I21/Q21</f>
        <v>4.5761389463686013E-2</v>
      </c>
      <c r="L21" s="26">
        <v>9056</v>
      </c>
      <c r="M21" s="26">
        <v>6424</v>
      </c>
      <c r="N21" s="84">
        <f>L21/R21</f>
        <v>6.3340630748462995E-2</v>
      </c>
      <c r="O21" s="55">
        <v>247195</v>
      </c>
      <c r="P21" s="55">
        <v>74743</v>
      </c>
      <c r="Q21" s="55">
        <v>29479</v>
      </c>
      <c r="R21" s="55">
        <v>142973</v>
      </c>
    </row>
    <row r="22" spans="1:18" ht="15" customHeight="1" x14ac:dyDescent="0.25">
      <c r="A22" s="145" t="s">
        <v>24</v>
      </c>
      <c r="B22" s="145"/>
      <c r="C22" s="23">
        <f>SUM(C18:C21)</f>
        <v>47116</v>
      </c>
      <c r="D22" s="23">
        <f>SUM(D18:D21)</f>
        <v>24475</v>
      </c>
      <c r="E22" s="11">
        <f>C22/O22</f>
        <v>6.3515429951847113E-2</v>
      </c>
      <c r="F22" s="23">
        <f>SUM(F18:F21)</f>
        <v>9109</v>
      </c>
      <c r="G22" s="23">
        <f>SUM(G18:G21)</f>
        <v>5038</v>
      </c>
      <c r="H22" s="11">
        <f>F22/P22</f>
        <v>4.3197845087187658E-2</v>
      </c>
      <c r="I22" s="23">
        <f>SUM(I18:I21)</f>
        <v>2039</v>
      </c>
      <c r="J22" s="23">
        <f>SUM(J18:J21)</f>
        <v>1269</v>
      </c>
      <c r="K22" s="11">
        <f>I22/Q22</f>
        <v>5.0439084724799008E-2</v>
      </c>
      <c r="L22" s="23">
        <f>SUM(L18:L21)</f>
        <v>35968</v>
      </c>
      <c r="M22" s="23">
        <f>SUM(M18:M21)</f>
        <v>18168</v>
      </c>
      <c r="N22" s="11">
        <f>L22/R22</f>
        <v>7.3327461917343517E-2</v>
      </c>
      <c r="O22" s="75">
        <f t="shared" ref="O22:P22" si="4">SUM(O18:O21)</f>
        <v>741804</v>
      </c>
      <c r="P22" s="75">
        <f t="shared" si="4"/>
        <v>210867</v>
      </c>
      <c r="Q22" s="75">
        <f>SUM(Q18:Q21)</f>
        <v>40425</v>
      </c>
      <c r="R22" s="75">
        <f t="shared" ref="R22" si="5">SUM(R18:R21)</f>
        <v>490512</v>
      </c>
    </row>
    <row r="23" spans="1:18" ht="15" customHeight="1" x14ac:dyDescent="0.25">
      <c r="A23" s="145" t="s">
        <v>25</v>
      </c>
      <c r="B23" s="145"/>
      <c r="C23" s="25">
        <f>C22/4</f>
        <v>11779</v>
      </c>
      <c r="D23" s="25">
        <f>D22/4</f>
        <v>6118.75</v>
      </c>
      <c r="E23" s="11"/>
      <c r="F23" s="25">
        <f>F22/4</f>
        <v>2277.25</v>
      </c>
      <c r="G23" s="25">
        <f>G22/4</f>
        <v>1259.5</v>
      </c>
      <c r="H23" s="11"/>
      <c r="I23" s="25">
        <f>I22/2</f>
        <v>1019.5</v>
      </c>
      <c r="J23" s="25">
        <f>J22/2</f>
        <v>634.5</v>
      </c>
      <c r="K23" s="11"/>
      <c r="L23" s="25">
        <f>L22/4</f>
        <v>8992</v>
      </c>
      <c r="M23" s="25">
        <f>M22/4</f>
        <v>4542</v>
      </c>
      <c r="N23" s="11"/>
      <c r="O23" s="74">
        <f>O22/4</f>
        <v>185451</v>
      </c>
      <c r="P23" s="74">
        <f>P22/4</f>
        <v>52716.75</v>
      </c>
      <c r="Q23" s="74">
        <f>Q22/2</f>
        <v>20212.5</v>
      </c>
      <c r="R23" s="74">
        <f>R22/4</f>
        <v>122628</v>
      </c>
    </row>
    <row r="24" spans="1:18" ht="30.75" customHeight="1" x14ac:dyDescent="0.25">
      <c r="A24" s="146" t="s">
        <v>31</v>
      </c>
      <c r="B24" s="147"/>
      <c r="C24" s="76">
        <f>SUM(C15,C22)</f>
        <v>121273</v>
      </c>
      <c r="D24" s="76">
        <f>SUM(D15,D22)</f>
        <v>75519</v>
      </c>
      <c r="E24" s="12">
        <f>C24/O24</f>
        <v>5.8593463127664593E-2</v>
      </c>
      <c r="F24" s="82">
        <f>SUM(F15,F22)</f>
        <v>28178</v>
      </c>
      <c r="G24" s="82">
        <f>SUM(G15,G22)</f>
        <v>16180</v>
      </c>
      <c r="H24" s="12">
        <f>F24/P24</f>
        <v>4.2435660532787564E-2</v>
      </c>
      <c r="I24" s="82">
        <f>SUM(I15,I22)</f>
        <v>19761</v>
      </c>
      <c r="J24" s="82">
        <f>SUM(J15,J22)</f>
        <v>13345</v>
      </c>
      <c r="K24" s="12">
        <f>I24/Q24</f>
        <v>5.7245572817840248E-2</v>
      </c>
      <c r="L24" s="82">
        <f>SUM(L15,L22)</f>
        <v>73334</v>
      </c>
      <c r="M24" s="82">
        <f>SUM(M15,M22)</f>
        <v>45994</v>
      </c>
      <c r="N24" s="12">
        <f>M24/R24</f>
        <v>4.3368677129939137E-2</v>
      </c>
      <c r="O24" s="77">
        <f>SUM(O15,O22)</f>
        <v>2069736</v>
      </c>
      <c r="P24" s="77">
        <f>SUM(P15,P22)</f>
        <v>664017</v>
      </c>
      <c r="Q24" s="77">
        <f>SUM(Q15,Q22)</f>
        <v>345197</v>
      </c>
      <c r="R24" s="77">
        <f>SUM(R15,R22)</f>
        <v>1060535</v>
      </c>
    </row>
    <row r="25" spans="1:18" ht="31.5" customHeight="1" x14ac:dyDescent="0.25">
      <c r="A25" s="146" t="s">
        <v>32</v>
      </c>
      <c r="B25" s="147"/>
      <c r="C25" s="76">
        <f>C24/11</f>
        <v>11024.818181818182</v>
      </c>
      <c r="D25" s="76">
        <f>D24/11</f>
        <v>6865.363636363636</v>
      </c>
      <c r="E25" s="76"/>
      <c r="F25" s="76">
        <f>F24/11</f>
        <v>2561.6363636363635</v>
      </c>
      <c r="G25" s="76">
        <f>G24/11</f>
        <v>1470.909090909091</v>
      </c>
      <c r="H25" s="76"/>
      <c r="I25" s="76">
        <f>I24/7</f>
        <v>2823</v>
      </c>
      <c r="J25" s="76">
        <f>J24/7</f>
        <v>1906.4285714285713</v>
      </c>
      <c r="K25" s="76"/>
      <c r="L25" s="76">
        <f>L24/8</f>
        <v>9166.75</v>
      </c>
      <c r="M25" s="76">
        <f>M24/8</f>
        <v>5749.25</v>
      </c>
      <c r="N25" s="76"/>
      <c r="O25" s="78">
        <f>O24/11</f>
        <v>188157.81818181818</v>
      </c>
      <c r="P25" s="78">
        <f>P24/11</f>
        <v>60365.181818181816</v>
      </c>
      <c r="Q25" s="78">
        <f>Q24/7</f>
        <v>49313.857142857145</v>
      </c>
      <c r="R25" s="78">
        <f>R24/8</f>
        <v>132566.875</v>
      </c>
    </row>
  </sheetData>
  <mergeCells count="17">
    <mergeCell ref="A23:B23"/>
    <mergeCell ref="A16:B16"/>
    <mergeCell ref="A24:B24"/>
    <mergeCell ref="A25:B25"/>
    <mergeCell ref="A7:R7"/>
    <mergeCell ref="A17:R17"/>
    <mergeCell ref="A15:B15"/>
    <mergeCell ref="A22:B22"/>
    <mergeCell ref="A2:R2"/>
    <mergeCell ref="A4:A6"/>
    <mergeCell ref="B4:B6"/>
    <mergeCell ref="C4:N4"/>
    <mergeCell ref="O4:R5"/>
    <mergeCell ref="C5:E5"/>
    <mergeCell ref="F5:H5"/>
    <mergeCell ref="I5:K5"/>
    <mergeCell ref="L5:N5"/>
  </mergeCells>
  <pageMargins left="0.70000000000000007" right="0.70000000000000007" top="0.75" bottom="0.75" header="0.30000000000000004" footer="0.30000000000000004"/>
  <pageSetup orientation="portrait" r:id="rId1"/>
  <ignoredErrors>
    <ignoredError sqref="E22 E15 E24 H15 K15 H22 H24 K22 K24 N22 N24 N15 Q23" 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L34"/>
  <sheetViews>
    <sheetView workbookViewId="0">
      <selection activeCell="L15" sqref="L15"/>
    </sheetView>
  </sheetViews>
  <sheetFormatPr defaultRowHeight="15" x14ac:dyDescent="0.25"/>
  <cols>
    <col min="1" max="1" width="5.7109375" customWidth="1"/>
    <col min="2" max="2" width="27.28515625" customWidth="1"/>
    <col min="3" max="3" width="10.7109375" customWidth="1"/>
    <col min="4" max="4" width="10" customWidth="1"/>
    <col min="5" max="7" width="10.28515625" customWidth="1"/>
    <col min="8" max="8" width="9.28515625" customWidth="1"/>
    <col min="9" max="9" width="10.28515625" customWidth="1"/>
    <col min="10" max="10" width="9.42578125" customWidth="1"/>
  </cols>
  <sheetData>
    <row r="2" spans="1:12" ht="15.75" x14ac:dyDescent="0.25">
      <c r="A2" s="134" t="s">
        <v>87</v>
      </c>
      <c r="B2" s="134"/>
      <c r="C2" s="134"/>
      <c r="D2" s="134"/>
      <c r="E2" s="134"/>
      <c r="F2" s="134"/>
      <c r="G2" s="134"/>
      <c r="H2" s="134"/>
      <c r="I2" s="134"/>
      <c r="J2" s="134"/>
      <c r="K2" s="39"/>
      <c r="L2" s="39"/>
    </row>
    <row r="3" spans="1:12" ht="15.75" x14ac:dyDescent="0.25">
      <c r="A3" s="134" t="s">
        <v>95</v>
      </c>
      <c r="B3" s="134"/>
      <c r="C3" s="134"/>
      <c r="D3" s="134"/>
      <c r="E3" s="134"/>
      <c r="F3" s="134"/>
      <c r="G3" s="134"/>
      <c r="H3" s="134"/>
      <c r="I3" s="134"/>
      <c r="J3" s="134"/>
      <c r="K3" s="39"/>
      <c r="L3" s="39"/>
    </row>
    <row r="5" spans="1:12" ht="15.75" customHeight="1" x14ac:dyDescent="0.25">
      <c r="A5" s="155" t="s">
        <v>0</v>
      </c>
      <c r="B5" s="155" t="s">
        <v>1</v>
      </c>
      <c r="C5" s="157" t="s">
        <v>58</v>
      </c>
      <c r="D5" s="158"/>
      <c r="E5" s="158"/>
      <c r="F5" s="159"/>
      <c r="G5" s="157" t="s">
        <v>59</v>
      </c>
      <c r="H5" s="158"/>
      <c r="I5" s="158"/>
      <c r="J5" s="159"/>
    </row>
    <row r="6" spans="1:12" ht="15.75" x14ac:dyDescent="0.25">
      <c r="A6" s="155"/>
      <c r="B6" s="155"/>
      <c r="C6" s="160" t="s">
        <v>51</v>
      </c>
      <c r="D6" s="161"/>
      <c r="E6" s="160" t="s">
        <v>52</v>
      </c>
      <c r="F6" s="161"/>
      <c r="G6" s="162" t="s">
        <v>61</v>
      </c>
      <c r="H6" s="162" t="s">
        <v>62</v>
      </c>
      <c r="I6" s="162" t="s">
        <v>63</v>
      </c>
      <c r="J6" s="162" t="s">
        <v>64</v>
      </c>
    </row>
    <row r="7" spans="1:12" ht="15.75" x14ac:dyDescent="0.25">
      <c r="A7" s="156"/>
      <c r="B7" s="156"/>
      <c r="C7" s="31" t="s">
        <v>47</v>
      </c>
      <c r="D7" s="31" t="s">
        <v>53</v>
      </c>
      <c r="E7" s="31" t="s">
        <v>47</v>
      </c>
      <c r="F7" s="31" t="s">
        <v>53</v>
      </c>
      <c r="G7" s="163"/>
      <c r="H7" s="163"/>
      <c r="I7" s="163"/>
      <c r="J7" s="163"/>
    </row>
    <row r="8" spans="1:12" ht="15.75" x14ac:dyDescent="0.25">
      <c r="A8" s="32" t="s">
        <v>8</v>
      </c>
      <c r="B8" s="33"/>
      <c r="C8" s="34"/>
      <c r="D8" s="34"/>
      <c r="E8" s="34"/>
      <c r="F8" s="34"/>
      <c r="G8" s="34"/>
      <c r="H8" s="34"/>
      <c r="I8" s="34"/>
      <c r="J8" s="35"/>
    </row>
    <row r="9" spans="1:12" ht="15.75" x14ac:dyDescent="0.25">
      <c r="A9" s="38" t="s">
        <v>9</v>
      </c>
      <c r="B9" s="30" t="s">
        <v>10</v>
      </c>
      <c r="C9" s="87">
        <f>13815/11</f>
        <v>1255.909090909091</v>
      </c>
      <c r="D9" s="87">
        <f>9454/11</f>
        <v>859.4545454545455</v>
      </c>
      <c r="E9" s="88" t="s">
        <v>11</v>
      </c>
      <c r="F9" s="88" t="s">
        <v>11</v>
      </c>
      <c r="G9" s="118">
        <f>18245/310436</f>
        <v>5.8772178484454124E-2</v>
      </c>
      <c r="H9" s="118">
        <f>4430/97893</f>
        <v>4.5253491056561755E-2</v>
      </c>
      <c r="I9" s="118">
        <f>13815/212556</f>
        <v>6.4994636707502967E-2</v>
      </c>
      <c r="J9" s="119" t="s">
        <v>11</v>
      </c>
    </row>
    <row r="10" spans="1:12" ht="15.75" x14ac:dyDescent="0.25">
      <c r="A10" s="38" t="s">
        <v>12</v>
      </c>
      <c r="B10" s="30" t="s">
        <v>13</v>
      </c>
      <c r="C10" s="87">
        <v>1035</v>
      </c>
      <c r="D10" s="87">
        <v>740</v>
      </c>
      <c r="E10" s="87">
        <f>16794/24</f>
        <v>699.75</v>
      </c>
      <c r="F10" s="87">
        <f>11978/24</f>
        <v>499.08333333333331</v>
      </c>
      <c r="G10" s="118">
        <f>20197/242687</f>
        <v>8.3222422297032805E-2</v>
      </c>
      <c r="H10" s="118">
        <f>2368/60881</f>
        <v>3.8895550335901183E-2</v>
      </c>
      <c r="I10" s="118">
        <f>1035/17754</f>
        <v>5.8296721865495102E-2</v>
      </c>
      <c r="J10" s="118">
        <f>16794/164052</f>
        <v>0.10236998025016458</v>
      </c>
    </row>
    <row r="11" spans="1:12" ht="15.75" x14ac:dyDescent="0.25">
      <c r="A11" s="38" t="s">
        <v>14</v>
      </c>
      <c r="B11" s="30" t="s">
        <v>15</v>
      </c>
      <c r="C11" s="87">
        <v>587</v>
      </c>
      <c r="D11" s="87">
        <v>551</v>
      </c>
      <c r="E11" s="87">
        <f>5834/18</f>
        <v>324.11111111111109</v>
      </c>
      <c r="F11" s="87">
        <f>5454/18</f>
        <v>303</v>
      </c>
      <c r="G11" s="118">
        <f>9150/207159</f>
        <v>4.4168971659449989E-2</v>
      </c>
      <c r="H11" s="118">
        <f>2729/60721</f>
        <v>4.494326509774213E-2</v>
      </c>
      <c r="I11" s="118">
        <f>587/15824</f>
        <v>3.7095551061678465E-2</v>
      </c>
      <c r="J11" s="118">
        <f>5834/130614</f>
        <v>4.4665962301131582E-2</v>
      </c>
    </row>
    <row r="12" spans="1:12" ht="15.75" x14ac:dyDescent="0.25">
      <c r="A12" s="38" t="s">
        <v>16</v>
      </c>
      <c r="B12" s="30" t="s">
        <v>17</v>
      </c>
      <c r="C12" s="87">
        <f>2044/2</f>
        <v>1022</v>
      </c>
      <c r="D12" s="87">
        <f>1092/2</f>
        <v>546</v>
      </c>
      <c r="E12" s="87" t="s">
        <v>11</v>
      </c>
      <c r="F12" s="87" t="s">
        <v>11</v>
      </c>
      <c r="G12" s="118">
        <f>4185/95090</f>
        <v>4.4010937007045954E-2</v>
      </c>
      <c r="H12" s="118">
        <f>2141/41053</f>
        <v>5.2152096070932699E-2</v>
      </c>
      <c r="I12" s="118">
        <f>2044/54037</f>
        <v>3.7825934082202937E-2</v>
      </c>
      <c r="J12" s="119" t="s">
        <v>11</v>
      </c>
    </row>
    <row r="13" spans="1:12" ht="15.75" x14ac:dyDescent="0.25">
      <c r="A13" s="38" t="s">
        <v>18</v>
      </c>
      <c r="B13" s="30" t="s">
        <v>19</v>
      </c>
      <c r="C13" s="87" t="s">
        <v>11</v>
      </c>
      <c r="D13" s="87" t="s">
        <v>11</v>
      </c>
      <c r="E13" s="87" t="s">
        <v>11</v>
      </c>
      <c r="F13" s="87" t="s">
        <v>11</v>
      </c>
      <c r="G13" s="118">
        <f>3453/73695</f>
        <v>4.68552819051496E-2</v>
      </c>
      <c r="H13" s="118">
        <f>3453/73695</f>
        <v>4.68552819051496E-2</v>
      </c>
      <c r="I13" s="119" t="s">
        <v>11</v>
      </c>
      <c r="J13" s="119" t="s">
        <v>11</v>
      </c>
    </row>
    <row r="14" spans="1:12" ht="15.75" x14ac:dyDescent="0.25">
      <c r="A14" s="38" t="s">
        <v>20</v>
      </c>
      <c r="B14" s="30" t="s">
        <v>21</v>
      </c>
      <c r="C14" s="87">
        <v>241</v>
      </c>
      <c r="D14" s="87">
        <v>239</v>
      </c>
      <c r="E14" s="87">
        <f>3134/13</f>
        <v>241.07692307692307</v>
      </c>
      <c r="F14" s="87">
        <f>3107/13</f>
        <v>239</v>
      </c>
      <c r="G14" s="118">
        <f>5279/151849</f>
        <v>3.4764799241351604E-2</v>
      </c>
      <c r="H14" s="118">
        <f>1904/53982</f>
        <v>3.5271016264680821E-2</v>
      </c>
      <c r="I14" s="118">
        <f>241/4601</f>
        <v>5.2379917409258854E-2</v>
      </c>
      <c r="J14" s="118">
        <f>3134/93266</f>
        <v>3.3602813458280617E-2</v>
      </c>
    </row>
    <row r="15" spans="1:12" ht="15.75" x14ac:dyDescent="0.25">
      <c r="A15" s="38" t="s">
        <v>22</v>
      </c>
      <c r="B15" s="30" t="s">
        <v>23</v>
      </c>
      <c r="C15" s="87" t="s">
        <v>11</v>
      </c>
      <c r="D15" s="87" t="s">
        <v>11</v>
      </c>
      <c r="E15" s="87">
        <f>11604/21</f>
        <v>552.57142857142856</v>
      </c>
      <c r="F15" s="87">
        <f>7287/21</f>
        <v>347</v>
      </c>
      <c r="G15" s="118">
        <f>13648/247016</f>
        <v>5.5251481685396897E-2</v>
      </c>
      <c r="H15" s="118">
        <f>2044/64925</f>
        <v>3.1482479784366579E-2</v>
      </c>
      <c r="I15" s="119" t="s">
        <v>11</v>
      </c>
      <c r="J15" s="118">
        <f>11604/182091</f>
        <v>6.3726378568957284E-2</v>
      </c>
    </row>
    <row r="16" spans="1:12" ht="15.75" x14ac:dyDescent="0.25">
      <c r="A16" s="154" t="s">
        <v>24</v>
      </c>
      <c r="B16" s="154"/>
      <c r="C16" s="89">
        <f t="shared" ref="C16:J16" si="0">SUM(C9:C15)</f>
        <v>4140.909090909091</v>
      </c>
      <c r="D16" s="89">
        <f t="shared" si="0"/>
        <v>2935.4545454545455</v>
      </c>
      <c r="E16" s="89">
        <f t="shared" si="0"/>
        <v>1817.5094627594626</v>
      </c>
      <c r="F16" s="89">
        <f t="shared" si="0"/>
        <v>1388.0833333333333</v>
      </c>
      <c r="G16" s="120">
        <f t="shared" si="0"/>
        <v>0.36704607227988101</v>
      </c>
      <c r="H16" s="120">
        <f t="shared" si="0"/>
        <v>0.29485318051533477</v>
      </c>
      <c r="I16" s="120">
        <f t="shared" si="0"/>
        <v>0.25059276112613832</v>
      </c>
      <c r="J16" s="120">
        <f t="shared" si="0"/>
        <v>0.24436513457853404</v>
      </c>
    </row>
    <row r="17" spans="1:11" ht="15.75" customHeight="1" x14ac:dyDescent="0.25">
      <c r="A17" s="145" t="s">
        <v>25</v>
      </c>
      <c r="B17" s="145"/>
      <c r="C17" s="89">
        <f>C16/5</f>
        <v>828.18181818181824</v>
      </c>
      <c r="D17" s="89">
        <f>D16/5</f>
        <v>587.09090909090912</v>
      </c>
      <c r="E17" s="89">
        <f>E16/4</f>
        <v>454.37736568986566</v>
      </c>
      <c r="F17" s="89">
        <f>F16/4</f>
        <v>347.02083333333331</v>
      </c>
      <c r="G17" s="120">
        <f>G16/7</f>
        <v>5.2435153182840144E-2</v>
      </c>
      <c r="H17" s="120">
        <f>H16/7</f>
        <v>4.2121882930762113E-2</v>
      </c>
      <c r="I17" s="120">
        <f>I16/7</f>
        <v>3.5798965875162618E-2</v>
      </c>
      <c r="J17" s="120">
        <f>J16/7</f>
        <v>3.4909304939790574E-2</v>
      </c>
    </row>
    <row r="18" spans="1:11" ht="15.75" x14ac:dyDescent="0.25">
      <c r="A18" s="32" t="s">
        <v>26</v>
      </c>
      <c r="B18" s="33"/>
      <c r="C18" s="36"/>
      <c r="D18" s="36"/>
      <c r="E18" s="36"/>
      <c r="F18" s="36"/>
      <c r="G18" s="36"/>
      <c r="H18" s="36"/>
      <c r="I18" s="36"/>
      <c r="J18" s="37"/>
    </row>
    <row r="19" spans="1:11" ht="15.75" x14ac:dyDescent="0.25">
      <c r="A19" s="21" t="s">
        <v>9</v>
      </c>
      <c r="B19" s="22" t="s">
        <v>27</v>
      </c>
      <c r="C19" s="88">
        <v>690</v>
      </c>
      <c r="D19" s="88">
        <v>262</v>
      </c>
      <c r="E19" s="87">
        <f>13150/23</f>
        <v>571.73913043478262</v>
      </c>
      <c r="F19" s="87">
        <f>4990/23</f>
        <v>216.95652173913044</v>
      </c>
      <c r="G19" s="118">
        <f>17096/210427</f>
        <v>8.1244327011267561E-2</v>
      </c>
      <c r="H19" s="118">
        <f>3258/59832</f>
        <v>5.4452466907340555E-2</v>
      </c>
      <c r="I19" s="118">
        <f>690/10946</f>
        <v>6.3036725744564218E-2</v>
      </c>
      <c r="J19" s="118">
        <f>13150/139649</f>
        <v>9.4164655672435899E-2</v>
      </c>
    </row>
    <row r="20" spans="1:11" ht="15.75" x14ac:dyDescent="0.25">
      <c r="A20" s="21" t="s">
        <v>12</v>
      </c>
      <c r="B20" s="20" t="s">
        <v>28</v>
      </c>
      <c r="C20" s="88" t="s">
        <v>11</v>
      </c>
      <c r="D20" s="88" t="s">
        <v>11</v>
      </c>
      <c r="E20" s="87">
        <f>5140/8</f>
        <v>642.5</v>
      </c>
      <c r="F20" s="87">
        <f>1966/8</f>
        <v>245.75</v>
      </c>
      <c r="G20" s="118">
        <f>6553/102723</f>
        <v>6.3792918820517311E-2</v>
      </c>
      <c r="H20" s="118">
        <f>1413/35802</f>
        <v>3.9467068878833583E-2</v>
      </c>
      <c r="I20" s="118" t="s">
        <v>11</v>
      </c>
      <c r="J20" s="118">
        <f>5140/66921</f>
        <v>7.6806981366088378E-2</v>
      </c>
    </row>
    <row r="21" spans="1:11" ht="15.75" x14ac:dyDescent="0.25">
      <c r="A21" s="21" t="s">
        <v>14</v>
      </c>
      <c r="B21" s="20" t="s">
        <v>29</v>
      </c>
      <c r="C21" s="88" t="s">
        <v>11</v>
      </c>
      <c r="D21" s="88" t="s">
        <v>60</v>
      </c>
      <c r="E21" s="87">
        <f>8622/23</f>
        <v>374.86956521739131</v>
      </c>
      <c r="F21" s="87">
        <f>4788/23</f>
        <v>208.17391304347825</v>
      </c>
      <c r="G21" s="118">
        <f>10023/181459</f>
        <v>5.5235617963286472E-2</v>
      </c>
      <c r="H21" s="118">
        <f>1401/40490</f>
        <v>3.4601136082983451E-2</v>
      </c>
      <c r="I21" s="119" t="s">
        <v>11</v>
      </c>
      <c r="J21" s="118">
        <f>8622/140969</f>
        <v>6.1162383219005599E-2</v>
      </c>
    </row>
    <row r="22" spans="1:11" ht="15.75" x14ac:dyDescent="0.25">
      <c r="A22" s="21" t="s">
        <v>16</v>
      </c>
      <c r="B22" s="20" t="s">
        <v>30</v>
      </c>
      <c r="C22" s="87">
        <f>1349/2</f>
        <v>674.5</v>
      </c>
      <c r="D22" s="87">
        <f>1007/2</f>
        <v>503.5</v>
      </c>
      <c r="E22" s="87">
        <f>9056/24</f>
        <v>377.33333333333331</v>
      </c>
      <c r="F22" s="87">
        <f>6424/24</f>
        <v>267.66666666666669</v>
      </c>
      <c r="G22" s="118">
        <f>13442/247195</f>
        <v>5.4378122534840916E-2</v>
      </c>
      <c r="H22" s="118">
        <f>3037/74743</f>
        <v>4.0632567598303519E-2</v>
      </c>
      <c r="I22" s="118">
        <f>1349/29479</f>
        <v>4.5761389463686013E-2</v>
      </c>
      <c r="J22" s="118">
        <f>9056/142973</f>
        <v>6.3340630748462995E-2</v>
      </c>
    </row>
    <row r="23" spans="1:11" ht="15.75" x14ac:dyDescent="0.25">
      <c r="A23" s="154" t="s">
        <v>24</v>
      </c>
      <c r="B23" s="154"/>
      <c r="C23" s="89">
        <f>SUM(C19:C22)</f>
        <v>1364.5</v>
      </c>
      <c r="D23" s="89">
        <f>SUM(D19:D22)</f>
        <v>765.5</v>
      </c>
      <c r="E23" s="89">
        <f>SUM(E19:E22,E9:E15)</f>
        <v>3783.9514917449696</v>
      </c>
      <c r="F23" s="89">
        <f>SUM(F9:F15,F19:F22)</f>
        <v>2326.6304347826085</v>
      </c>
      <c r="G23" s="120">
        <f>SUM(G19:G21)</f>
        <v>0.20027286379507134</v>
      </c>
      <c r="H23" s="120">
        <f>SUM(H19:H22)</f>
        <v>0.16915323946746111</v>
      </c>
      <c r="I23" s="120">
        <f>SUM(I19:I22)</f>
        <v>0.10879811520825022</v>
      </c>
      <c r="J23" s="120">
        <f>SUM(J19:J22)</f>
        <v>0.29547465100599291</v>
      </c>
    </row>
    <row r="24" spans="1:11" ht="15.75" customHeight="1" x14ac:dyDescent="0.25">
      <c r="A24" s="145" t="s">
        <v>25</v>
      </c>
      <c r="B24" s="145"/>
      <c r="C24" s="89">
        <f>C23/2</f>
        <v>682.25</v>
      </c>
      <c r="D24" s="89">
        <f>D23/2</f>
        <v>382.75</v>
      </c>
      <c r="E24" s="89">
        <f t="shared" ref="E24:J24" si="1">E23/4</f>
        <v>945.98787293624241</v>
      </c>
      <c r="F24" s="89">
        <f t="shared" si="1"/>
        <v>581.65760869565213</v>
      </c>
      <c r="G24" s="120">
        <f t="shared" si="1"/>
        <v>5.0068215948767834E-2</v>
      </c>
      <c r="H24" s="120">
        <f t="shared" si="1"/>
        <v>4.2288309866865277E-2</v>
      </c>
      <c r="I24" s="120">
        <f t="shared" si="1"/>
        <v>2.7199528802062556E-2</v>
      </c>
      <c r="J24" s="120">
        <f t="shared" si="1"/>
        <v>7.3868662751498226E-2</v>
      </c>
    </row>
    <row r="25" spans="1:11" ht="30.75" customHeight="1" x14ac:dyDescent="0.25">
      <c r="A25" s="146" t="s">
        <v>31</v>
      </c>
      <c r="B25" s="147"/>
      <c r="C25" s="90">
        <f>SUM(C16,C23)</f>
        <v>5505.409090909091</v>
      </c>
      <c r="D25" s="90">
        <f>SUM(D16,D23)</f>
        <v>3700.9545454545455</v>
      </c>
      <c r="E25" s="90">
        <f>SUM(E9:E15,E19:E22)</f>
        <v>3783.9514917449701</v>
      </c>
      <c r="F25" s="90">
        <f>SUM(F9:F15,F19:F22)</f>
        <v>2326.6304347826085</v>
      </c>
      <c r="G25" s="121">
        <f>SUM(G16,G23)</f>
        <v>0.56731893607495232</v>
      </c>
      <c r="H25" s="121">
        <f>SUM(H16,H23)</f>
        <v>0.4640064199827959</v>
      </c>
      <c r="I25" s="121">
        <f>SUM(I16,I23)</f>
        <v>0.35939087633438854</v>
      </c>
      <c r="J25" s="121">
        <f>SUM(J16,J23)</f>
        <v>0.53983978558452694</v>
      </c>
    </row>
    <row r="26" spans="1:11" ht="30.75" customHeight="1" x14ac:dyDescent="0.25">
      <c r="A26" s="146" t="s">
        <v>32</v>
      </c>
      <c r="B26" s="147"/>
      <c r="C26" s="90">
        <f>C25/7</f>
        <v>786.48701298701303</v>
      </c>
      <c r="D26" s="90">
        <f>D25/7</f>
        <v>528.70779220779218</v>
      </c>
      <c r="E26" s="90">
        <f>E25/8</f>
        <v>472.99393646812126</v>
      </c>
      <c r="F26" s="90">
        <f>F25/8</f>
        <v>290.82880434782606</v>
      </c>
      <c r="G26" s="121">
        <f>G25/11</f>
        <v>5.1574448734086571E-2</v>
      </c>
      <c r="H26" s="121">
        <f>H25/11</f>
        <v>4.2182401816617809E-2</v>
      </c>
      <c r="I26" s="121">
        <f>I25/7</f>
        <v>5.1341553762055507E-2</v>
      </c>
      <c r="J26" s="121">
        <f>J25/8</f>
        <v>6.7479973198065868E-2</v>
      </c>
    </row>
    <row r="28" spans="1:11" ht="15" customHeight="1" x14ac:dyDescent="0.25">
      <c r="A28" s="40" t="s">
        <v>88</v>
      </c>
      <c r="B28" s="40"/>
      <c r="C28" s="40"/>
      <c r="D28" s="40"/>
      <c r="E28" s="40"/>
      <c r="F28" s="40"/>
      <c r="G28" s="40"/>
      <c r="H28" s="40"/>
      <c r="I28" s="40"/>
      <c r="J28" s="40"/>
      <c r="K28" s="40"/>
    </row>
    <row r="29" spans="1:11" ht="15" customHeight="1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</row>
    <row r="30" spans="1:11" ht="15" customHeight="1" x14ac:dyDescent="0.25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0"/>
    </row>
    <row r="31" spans="1:11" ht="15" customHeight="1" x14ac:dyDescent="0.25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0"/>
    </row>
    <row r="32" spans="1:11" ht="15" customHeight="1" x14ac:dyDescent="0.25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0"/>
    </row>
    <row r="33" spans="1:11" ht="15" customHeight="1" x14ac:dyDescent="0.25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0"/>
    </row>
    <row r="34" spans="1:11" ht="15" customHeight="1" x14ac:dyDescent="0.25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0"/>
    </row>
  </sheetData>
  <mergeCells count="18">
    <mergeCell ref="H6:H7"/>
    <mergeCell ref="I6:I7"/>
    <mergeCell ref="A24:B24"/>
    <mergeCell ref="A25:B25"/>
    <mergeCell ref="A26:B26"/>
    <mergeCell ref="A2:J2"/>
    <mergeCell ref="A3:J3"/>
    <mergeCell ref="A16:B16"/>
    <mergeCell ref="A17:B17"/>
    <mergeCell ref="A23:B23"/>
    <mergeCell ref="A5:A7"/>
    <mergeCell ref="B5:B7"/>
    <mergeCell ref="C5:F5"/>
    <mergeCell ref="G5:J5"/>
    <mergeCell ref="C6:D6"/>
    <mergeCell ref="J6:J7"/>
    <mergeCell ref="E6:F6"/>
    <mergeCell ref="G6:G7"/>
  </mergeCells>
  <pageMargins left="0.70000000000000007" right="0.70000000000000007" top="0.75" bottom="0.75" header="0.30000000000000004" footer="0.30000000000000004"/>
  <pageSetup orientation="portrait" r:id="rId1"/>
  <ignoredErrors>
    <ignoredError sqref="E25:F25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5"/>
  <sheetViews>
    <sheetView workbookViewId="0">
      <selection activeCell="AA8" sqref="AA8"/>
    </sheetView>
  </sheetViews>
  <sheetFormatPr defaultRowHeight="15" x14ac:dyDescent="0.25"/>
  <cols>
    <col min="1" max="1" width="5.28515625" customWidth="1"/>
    <col min="2" max="2" width="27.28515625" customWidth="1"/>
    <col min="5" max="5" width="8.5703125" customWidth="1"/>
    <col min="6" max="6" width="8.7109375" customWidth="1"/>
    <col min="7" max="7" width="9.140625" customWidth="1"/>
    <col min="8" max="8" width="8.28515625" customWidth="1"/>
    <col min="9" max="9" width="8" customWidth="1"/>
    <col min="10" max="10" width="10.28515625" customWidth="1"/>
    <col min="11" max="11" width="6.5703125" customWidth="1"/>
    <col min="12" max="12" width="9.85546875" customWidth="1"/>
    <col min="13" max="13" width="6.85546875" customWidth="1"/>
    <col min="14" max="14" width="9.7109375" customWidth="1"/>
    <col min="15" max="15" width="6.85546875" customWidth="1"/>
    <col min="16" max="16" width="9.7109375" customWidth="1"/>
    <col min="17" max="17" width="7" customWidth="1"/>
    <col min="18" max="18" width="9.85546875" customWidth="1"/>
    <col min="19" max="19" width="7.5703125" customWidth="1"/>
    <col min="20" max="20" width="9.28515625" customWidth="1"/>
    <col min="21" max="21" width="9.7109375" customWidth="1"/>
    <col min="22" max="23" width="11.42578125" customWidth="1"/>
    <col min="24" max="24" width="11.28515625" customWidth="1"/>
  </cols>
  <sheetData>
    <row r="2" spans="1:24" ht="15.75" x14ac:dyDescent="0.25">
      <c r="A2" s="164" t="s">
        <v>96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4" ht="15.7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1:24" ht="15.95" customHeight="1" x14ac:dyDescent="0.25">
      <c r="A4" s="169" t="s">
        <v>0</v>
      </c>
      <c r="B4" s="169" t="s">
        <v>1</v>
      </c>
      <c r="C4" s="167" t="s">
        <v>33</v>
      </c>
      <c r="D4" s="167"/>
      <c r="E4" s="169" t="s">
        <v>76</v>
      </c>
      <c r="F4" s="169" t="s">
        <v>50</v>
      </c>
      <c r="G4" s="169" t="s">
        <v>77</v>
      </c>
      <c r="H4" s="167" t="s">
        <v>36</v>
      </c>
      <c r="I4" s="167"/>
      <c r="J4" s="169" t="s">
        <v>78</v>
      </c>
      <c r="K4" s="168" t="s">
        <v>38</v>
      </c>
      <c r="L4" s="168"/>
      <c r="M4" s="168"/>
      <c r="N4" s="168"/>
      <c r="O4" s="168"/>
      <c r="P4" s="168"/>
      <c r="Q4" s="168"/>
      <c r="R4" s="168"/>
      <c r="S4" s="168" t="s">
        <v>39</v>
      </c>
      <c r="T4" s="168"/>
      <c r="U4" s="168"/>
      <c r="V4" s="167" t="s">
        <v>40</v>
      </c>
      <c r="W4" s="167" t="s">
        <v>41</v>
      </c>
      <c r="X4" s="167" t="s">
        <v>42</v>
      </c>
    </row>
    <row r="5" spans="1:24" ht="15.95" customHeight="1" x14ac:dyDescent="0.25">
      <c r="A5" s="169"/>
      <c r="B5" s="169"/>
      <c r="C5" s="167"/>
      <c r="D5" s="167"/>
      <c r="E5" s="169"/>
      <c r="F5" s="169"/>
      <c r="G5" s="169"/>
      <c r="H5" s="167"/>
      <c r="I5" s="167"/>
      <c r="J5" s="169"/>
      <c r="K5" s="167" t="s">
        <v>2</v>
      </c>
      <c r="L5" s="167" t="s">
        <v>43</v>
      </c>
      <c r="M5" s="168" t="s">
        <v>44</v>
      </c>
      <c r="N5" s="168"/>
      <c r="O5" s="168" t="s">
        <v>45</v>
      </c>
      <c r="P5" s="168"/>
      <c r="Q5" s="168" t="s">
        <v>46</v>
      </c>
      <c r="R5" s="168"/>
      <c r="S5" s="168"/>
      <c r="T5" s="168"/>
      <c r="U5" s="168"/>
      <c r="V5" s="167"/>
      <c r="W5" s="167"/>
      <c r="X5" s="167"/>
    </row>
    <row r="6" spans="1:24" ht="31.5" customHeight="1" x14ac:dyDescent="0.25">
      <c r="A6" s="169"/>
      <c r="B6" s="169"/>
      <c r="C6" s="44" t="s">
        <v>47</v>
      </c>
      <c r="D6" s="44" t="s">
        <v>7</v>
      </c>
      <c r="E6" s="169"/>
      <c r="F6" s="169"/>
      <c r="G6" s="169"/>
      <c r="H6" s="44" t="s">
        <v>47</v>
      </c>
      <c r="I6" s="44" t="s">
        <v>7</v>
      </c>
      <c r="J6" s="169"/>
      <c r="K6" s="167"/>
      <c r="L6" s="167"/>
      <c r="M6" s="45" t="s">
        <v>2</v>
      </c>
      <c r="N6" s="45" t="s">
        <v>43</v>
      </c>
      <c r="O6" s="45" t="s">
        <v>2</v>
      </c>
      <c r="P6" s="45" t="s">
        <v>43</v>
      </c>
      <c r="Q6" s="45" t="s">
        <v>2</v>
      </c>
      <c r="R6" s="45" t="s">
        <v>43</v>
      </c>
      <c r="S6" s="46" t="s">
        <v>2</v>
      </c>
      <c r="T6" s="45" t="s">
        <v>48</v>
      </c>
      <c r="U6" s="45" t="s">
        <v>49</v>
      </c>
      <c r="V6" s="167"/>
      <c r="W6" s="167"/>
      <c r="X6" s="167"/>
    </row>
    <row r="7" spans="1:24" ht="15.95" customHeight="1" x14ac:dyDescent="0.25">
      <c r="A7" s="165" t="s">
        <v>8</v>
      </c>
      <c r="B7" s="165"/>
      <c r="C7" s="165"/>
      <c r="D7" s="165"/>
      <c r="E7" s="165"/>
      <c r="F7" s="165"/>
      <c r="G7" s="165"/>
      <c r="H7" s="165"/>
      <c r="I7" s="165"/>
      <c r="J7" s="165"/>
      <c r="K7" s="45"/>
      <c r="L7" s="45"/>
      <c r="M7" s="45"/>
      <c r="N7" s="45"/>
      <c r="O7" s="45"/>
      <c r="P7" s="45"/>
      <c r="Q7" s="45"/>
      <c r="R7" s="45"/>
      <c r="S7" s="46"/>
      <c r="T7" s="45"/>
      <c r="U7" s="45"/>
      <c r="V7" s="45"/>
      <c r="W7" s="45"/>
      <c r="X7" s="45"/>
    </row>
    <row r="8" spans="1:24" ht="15.95" customHeight="1" x14ac:dyDescent="0.25">
      <c r="A8" s="19" t="s">
        <v>9</v>
      </c>
      <c r="B8" s="47" t="s">
        <v>10</v>
      </c>
      <c r="C8" s="91">
        <v>17991</v>
      </c>
      <c r="D8" s="91">
        <v>11135</v>
      </c>
      <c r="E8" s="91">
        <v>0</v>
      </c>
      <c r="F8" s="91">
        <v>0</v>
      </c>
      <c r="G8" s="91">
        <v>6</v>
      </c>
      <c r="H8" s="91">
        <v>7</v>
      </c>
      <c r="I8" s="91">
        <v>6</v>
      </c>
      <c r="J8" s="91">
        <v>1</v>
      </c>
      <c r="K8" s="91">
        <v>158</v>
      </c>
      <c r="L8" s="91">
        <v>99</v>
      </c>
      <c r="M8" s="91">
        <v>87</v>
      </c>
      <c r="N8" s="91">
        <v>28</v>
      </c>
      <c r="O8" s="91">
        <v>71</v>
      </c>
      <c r="P8" s="91">
        <v>71</v>
      </c>
      <c r="Q8" s="91">
        <v>0</v>
      </c>
      <c r="R8" s="91">
        <v>0</v>
      </c>
      <c r="S8" s="91">
        <v>77</v>
      </c>
      <c r="T8" s="91">
        <v>77</v>
      </c>
      <c r="U8" s="91">
        <v>0</v>
      </c>
      <c r="V8" s="91">
        <v>5</v>
      </c>
      <c r="W8" s="91">
        <v>0</v>
      </c>
      <c r="X8" s="91">
        <v>0</v>
      </c>
    </row>
    <row r="9" spans="1:24" ht="15.95" customHeight="1" x14ac:dyDescent="0.25">
      <c r="A9" s="19" t="s">
        <v>12</v>
      </c>
      <c r="B9" s="22" t="s">
        <v>13</v>
      </c>
      <c r="C9" s="91">
        <v>20157</v>
      </c>
      <c r="D9" s="91">
        <v>13818</v>
      </c>
      <c r="E9" s="91">
        <v>0</v>
      </c>
      <c r="F9" s="91">
        <v>0</v>
      </c>
      <c r="G9" s="91">
        <v>0</v>
      </c>
      <c r="H9" s="91">
        <v>3</v>
      </c>
      <c r="I9" s="91">
        <v>3</v>
      </c>
      <c r="J9" s="91">
        <v>0</v>
      </c>
      <c r="K9" s="91">
        <v>37</v>
      </c>
      <c r="L9" s="91">
        <v>0</v>
      </c>
      <c r="M9" s="91">
        <v>9</v>
      </c>
      <c r="N9" s="91">
        <v>0</v>
      </c>
      <c r="O9" s="91">
        <v>27</v>
      </c>
      <c r="P9" s="91">
        <v>0</v>
      </c>
      <c r="Q9" s="91">
        <v>1</v>
      </c>
      <c r="R9" s="91">
        <v>0</v>
      </c>
      <c r="S9" s="91">
        <v>0</v>
      </c>
      <c r="T9" s="91">
        <v>0</v>
      </c>
      <c r="U9" s="108">
        <v>0</v>
      </c>
      <c r="V9" s="91">
        <v>0</v>
      </c>
      <c r="W9" s="91">
        <v>0</v>
      </c>
      <c r="X9" s="91">
        <v>0</v>
      </c>
    </row>
    <row r="10" spans="1:24" ht="15.95" customHeight="1" x14ac:dyDescent="0.25">
      <c r="A10" s="19" t="s">
        <v>14</v>
      </c>
      <c r="B10" s="22" t="s">
        <v>15</v>
      </c>
      <c r="C10" s="91">
        <v>9101</v>
      </c>
      <c r="D10" s="91">
        <v>7875</v>
      </c>
      <c r="E10" s="91">
        <v>3</v>
      </c>
      <c r="F10" s="91">
        <v>0</v>
      </c>
      <c r="G10" s="91">
        <v>0</v>
      </c>
      <c r="H10" s="91">
        <v>1</v>
      </c>
      <c r="I10" s="91">
        <v>1</v>
      </c>
      <c r="J10" s="91">
        <v>0</v>
      </c>
      <c r="K10" s="91">
        <v>45</v>
      </c>
      <c r="L10" s="91">
        <v>0</v>
      </c>
      <c r="M10" s="91">
        <v>42</v>
      </c>
      <c r="N10" s="91">
        <v>0</v>
      </c>
      <c r="O10" s="91">
        <v>0</v>
      </c>
      <c r="P10" s="91">
        <v>0</v>
      </c>
      <c r="Q10" s="91">
        <v>3</v>
      </c>
      <c r="R10" s="91">
        <v>0</v>
      </c>
      <c r="S10" s="91">
        <v>0</v>
      </c>
      <c r="T10" s="91">
        <v>0</v>
      </c>
      <c r="U10" s="91">
        <v>0</v>
      </c>
      <c r="V10" s="91">
        <v>0</v>
      </c>
      <c r="W10" s="91">
        <v>0</v>
      </c>
      <c r="X10" s="91">
        <v>0</v>
      </c>
    </row>
    <row r="11" spans="1:24" ht="15.95" customHeight="1" x14ac:dyDescent="0.25">
      <c r="A11" s="19" t="s">
        <v>16</v>
      </c>
      <c r="B11" s="22" t="s">
        <v>17</v>
      </c>
      <c r="C11" s="91">
        <v>4171</v>
      </c>
      <c r="D11" s="91">
        <v>2392</v>
      </c>
      <c r="E11" s="91">
        <v>4</v>
      </c>
      <c r="F11" s="91">
        <v>0</v>
      </c>
      <c r="G11" s="91">
        <v>0</v>
      </c>
      <c r="H11" s="91">
        <v>3</v>
      </c>
      <c r="I11" s="91">
        <v>3</v>
      </c>
      <c r="J11" s="91">
        <v>0</v>
      </c>
      <c r="K11" s="91">
        <v>7</v>
      </c>
      <c r="L11" s="91">
        <v>0</v>
      </c>
      <c r="M11" s="91">
        <v>6</v>
      </c>
      <c r="N11" s="91">
        <v>0</v>
      </c>
      <c r="O11" s="91">
        <v>1</v>
      </c>
      <c r="P11" s="91">
        <v>0</v>
      </c>
      <c r="Q11" s="91">
        <v>0</v>
      </c>
      <c r="R11" s="91">
        <v>0</v>
      </c>
      <c r="S11" s="91">
        <v>0</v>
      </c>
      <c r="T11" s="91">
        <v>0</v>
      </c>
      <c r="U11" s="91">
        <v>0</v>
      </c>
      <c r="V11" s="91">
        <v>0</v>
      </c>
      <c r="W11" s="91">
        <v>0</v>
      </c>
      <c r="X11" s="91">
        <v>0</v>
      </c>
    </row>
    <row r="12" spans="1:24" ht="15.95" customHeight="1" x14ac:dyDescent="0.25">
      <c r="A12" s="19" t="s">
        <v>18</v>
      </c>
      <c r="B12" s="22" t="s">
        <v>19</v>
      </c>
      <c r="C12" s="91">
        <v>3395</v>
      </c>
      <c r="D12" s="91">
        <v>1509</v>
      </c>
      <c r="E12" s="91">
        <v>0</v>
      </c>
      <c r="F12" s="91">
        <v>0</v>
      </c>
      <c r="G12" s="91">
        <v>0</v>
      </c>
      <c r="H12" s="91">
        <v>2</v>
      </c>
      <c r="I12" s="91">
        <v>2</v>
      </c>
      <c r="J12" s="91">
        <v>15</v>
      </c>
      <c r="K12" s="91">
        <v>41</v>
      </c>
      <c r="L12" s="91">
        <v>33</v>
      </c>
      <c r="M12" s="91">
        <v>31</v>
      </c>
      <c r="N12" s="91">
        <v>26</v>
      </c>
      <c r="O12" s="91">
        <v>10</v>
      </c>
      <c r="P12" s="91">
        <v>7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</row>
    <row r="13" spans="1:24" ht="15.95" customHeight="1" x14ac:dyDescent="0.25">
      <c r="A13" s="19" t="s">
        <v>20</v>
      </c>
      <c r="B13" s="22" t="s">
        <v>21</v>
      </c>
      <c r="C13" s="91">
        <v>5253</v>
      </c>
      <c r="D13" s="91">
        <v>4728</v>
      </c>
      <c r="E13" s="91">
        <v>0</v>
      </c>
      <c r="F13" s="91">
        <v>0</v>
      </c>
      <c r="G13" s="91">
        <v>0</v>
      </c>
      <c r="H13" s="91">
        <v>3</v>
      </c>
      <c r="I13" s="91">
        <v>3</v>
      </c>
      <c r="J13" s="91">
        <v>0</v>
      </c>
      <c r="K13" s="91">
        <v>23</v>
      </c>
      <c r="L13" s="91">
        <v>23</v>
      </c>
      <c r="M13" s="91">
        <v>15</v>
      </c>
      <c r="N13" s="91">
        <v>15</v>
      </c>
      <c r="O13" s="91">
        <v>8</v>
      </c>
      <c r="P13" s="91">
        <v>8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</row>
    <row r="14" spans="1:24" ht="15.95" customHeight="1" x14ac:dyDescent="0.25">
      <c r="A14" s="19" t="s">
        <v>22</v>
      </c>
      <c r="B14" s="22" t="s">
        <v>23</v>
      </c>
      <c r="C14" s="91">
        <v>13542</v>
      </c>
      <c r="D14" s="91">
        <v>8485</v>
      </c>
      <c r="E14" s="91">
        <v>0</v>
      </c>
      <c r="F14" s="91">
        <v>0</v>
      </c>
      <c r="G14" s="91">
        <v>4</v>
      </c>
      <c r="H14" s="91">
        <v>10</v>
      </c>
      <c r="I14" s="91">
        <v>7</v>
      </c>
      <c r="J14" s="91">
        <v>0</v>
      </c>
      <c r="K14" s="91">
        <v>12</v>
      </c>
      <c r="L14" s="91">
        <v>0</v>
      </c>
      <c r="M14" s="91">
        <v>11</v>
      </c>
      <c r="N14" s="91">
        <v>0</v>
      </c>
      <c r="O14" s="91">
        <v>1</v>
      </c>
      <c r="P14" s="91">
        <v>0</v>
      </c>
      <c r="Q14" s="91">
        <v>0</v>
      </c>
      <c r="R14" s="91">
        <v>0</v>
      </c>
      <c r="S14" s="91">
        <v>80</v>
      </c>
      <c r="T14" s="91">
        <v>80</v>
      </c>
      <c r="U14" s="91">
        <v>0</v>
      </c>
      <c r="V14" s="91">
        <v>0</v>
      </c>
      <c r="W14" s="91">
        <v>0</v>
      </c>
      <c r="X14" s="91">
        <v>0</v>
      </c>
    </row>
    <row r="15" spans="1:24" ht="15.95" customHeight="1" x14ac:dyDescent="0.25">
      <c r="A15" s="145" t="s">
        <v>24</v>
      </c>
      <c r="B15" s="145"/>
      <c r="C15" s="92">
        <f>SUM(C8:C14)</f>
        <v>73610</v>
      </c>
      <c r="D15" s="92">
        <f>SUM(D8:D14)</f>
        <v>49942</v>
      </c>
      <c r="E15" s="92">
        <f>SUM(E8:E14)</f>
        <v>7</v>
      </c>
      <c r="F15" s="92">
        <v>0</v>
      </c>
      <c r="G15" s="92">
        <f t="shared" ref="G15:X15" si="0">SUM(G8:G14)</f>
        <v>10</v>
      </c>
      <c r="H15" s="92">
        <f t="shared" si="0"/>
        <v>29</v>
      </c>
      <c r="I15" s="92">
        <f t="shared" si="0"/>
        <v>25</v>
      </c>
      <c r="J15" s="92">
        <f t="shared" si="0"/>
        <v>16</v>
      </c>
      <c r="K15" s="102">
        <f t="shared" si="0"/>
        <v>323</v>
      </c>
      <c r="L15" s="102">
        <f t="shared" si="0"/>
        <v>155</v>
      </c>
      <c r="M15" s="102">
        <f t="shared" si="0"/>
        <v>201</v>
      </c>
      <c r="N15" s="102">
        <f t="shared" si="0"/>
        <v>69</v>
      </c>
      <c r="O15" s="102">
        <f t="shared" si="0"/>
        <v>118</v>
      </c>
      <c r="P15" s="102">
        <f t="shared" si="0"/>
        <v>86</v>
      </c>
      <c r="Q15" s="102">
        <f t="shared" si="0"/>
        <v>4</v>
      </c>
      <c r="R15" s="102">
        <f t="shared" si="0"/>
        <v>0</v>
      </c>
      <c r="S15" s="102">
        <f t="shared" si="0"/>
        <v>157</v>
      </c>
      <c r="T15" s="102">
        <f t="shared" si="0"/>
        <v>157</v>
      </c>
      <c r="U15" s="102">
        <f t="shared" si="0"/>
        <v>0</v>
      </c>
      <c r="V15" s="102">
        <f t="shared" si="0"/>
        <v>5</v>
      </c>
      <c r="W15" s="102">
        <f t="shared" si="0"/>
        <v>0</v>
      </c>
      <c r="X15" s="102">
        <f t="shared" si="0"/>
        <v>0</v>
      </c>
    </row>
    <row r="16" spans="1:24" ht="15.95" customHeight="1" x14ac:dyDescent="0.25">
      <c r="A16" s="145" t="s">
        <v>25</v>
      </c>
      <c r="B16" s="145"/>
      <c r="C16" s="92">
        <f>(C15/7)</f>
        <v>10515.714285714286</v>
      </c>
      <c r="D16" s="92">
        <f>(D15/7)</f>
        <v>7134.5714285714284</v>
      </c>
      <c r="E16" s="92">
        <f>E15/7</f>
        <v>1</v>
      </c>
      <c r="F16" s="92">
        <v>0</v>
      </c>
      <c r="G16" s="92">
        <f t="shared" ref="G16:X16" si="1">G15/7</f>
        <v>1.4285714285714286</v>
      </c>
      <c r="H16" s="92">
        <f t="shared" si="1"/>
        <v>4.1428571428571432</v>
      </c>
      <c r="I16" s="92">
        <f t="shared" si="1"/>
        <v>3.5714285714285716</v>
      </c>
      <c r="J16" s="92">
        <f t="shared" si="1"/>
        <v>2.2857142857142856</v>
      </c>
      <c r="K16" s="102">
        <f t="shared" si="1"/>
        <v>46.142857142857146</v>
      </c>
      <c r="L16" s="102">
        <f t="shared" si="1"/>
        <v>22.142857142857142</v>
      </c>
      <c r="M16" s="102">
        <f t="shared" si="1"/>
        <v>28.714285714285715</v>
      </c>
      <c r="N16" s="102">
        <f t="shared" si="1"/>
        <v>9.8571428571428577</v>
      </c>
      <c r="O16" s="102">
        <f t="shared" si="1"/>
        <v>16.857142857142858</v>
      </c>
      <c r="P16" s="102">
        <f t="shared" si="1"/>
        <v>12.285714285714286</v>
      </c>
      <c r="Q16" s="102">
        <f t="shared" si="1"/>
        <v>0.5714285714285714</v>
      </c>
      <c r="R16" s="102">
        <f t="shared" si="1"/>
        <v>0</v>
      </c>
      <c r="S16" s="102">
        <f t="shared" si="1"/>
        <v>22.428571428571427</v>
      </c>
      <c r="T16" s="102">
        <f t="shared" si="1"/>
        <v>22.428571428571427</v>
      </c>
      <c r="U16" s="102">
        <f t="shared" si="1"/>
        <v>0</v>
      </c>
      <c r="V16" s="102">
        <f t="shared" si="1"/>
        <v>0.7142857142857143</v>
      </c>
      <c r="W16" s="102">
        <f t="shared" si="1"/>
        <v>0</v>
      </c>
      <c r="X16" s="102">
        <f t="shared" si="1"/>
        <v>0</v>
      </c>
    </row>
    <row r="17" spans="1:24" ht="15.95" customHeight="1" x14ac:dyDescent="0.25">
      <c r="A17" s="165" t="s">
        <v>26</v>
      </c>
      <c r="B17" s="165"/>
      <c r="C17" s="165"/>
      <c r="D17" s="165"/>
      <c r="E17" s="165"/>
      <c r="F17" s="165"/>
      <c r="G17" s="165"/>
      <c r="H17" s="165"/>
      <c r="I17" s="165"/>
      <c r="J17" s="165"/>
      <c r="K17" s="48"/>
      <c r="L17" s="48"/>
      <c r="M17" s="107"/>
      <c r="N17" s="107"/>
      <c r="O17" s="48"/>
      <c r="P17" s="48"/>
      <c r="Q17" s="48"/>
      <c r="R17" s="48"/>
      <c r="S17" s="48"/>
      <c r="T17" s="48"/>
      <c r="U17" s="48"/>
      <c r="V17" s="48"/>
      <c r="W17" s="106"/>
      <c r="X17" s="106"/>
    </row>
    <row r="18" spans="1:24" ht="15.95" customHeight="1" x14ac:dyDescent="0.25">
      <c r="A18" s="21" t="s">
        <v>9</v>
      </c>
      <c r="B18" s="22" t="s">
        <v>27</v>
      </c>
      <c r="C18" s="93">
        <v>16769</v>
      </c>
      <c r="D18" s="93">
        <v>7058</v>
      </c>
      <c r="E18" s="93">
        <v>316</v>
      </c>
      <c r="F18" s="93">
        <v>0</v>
      </c>
      <c r="G18" s="93">
        <v>1</v>
      </c>
      <c r="H18" s="93">
        <v>1</v>
      </c>
      <c r="I18" s="93">
        <v>1</v>
      </c>
      <c r="J18" s="93">
        <v>0</v>
      </c>
      <c r="K18" s="103">
        <v>11</v>
      </c>
      <c r="L18" s="103">
        <v>10</v>
      </c>
      <c r="M18" s="103">
        <v>10</v>
      </c>
      <c r="N18" s="103">
        <v>9</v>
      </c>
      <c r="O18" s="103">
        <v>1</v>
      </c>
      <c r="P18" s="103">
        <v>1</v>
      </c>
      <c r="Q18" s="103">
        <v>0</v>
      </c>
      <c r="R18" s="103">
        <v>0</v>
      </c>
      <c r="S18" s="103">
        <v>0</v>
      </c>
      <c r="T18" s="103">
        <v>0</v>
      </c>
      <c r="U18" s="103">
        <v>0</v>
      </c>
      <c r="V18" s="103">
        <v>0</v>
      </c>
      <c r="W18" s="103">
        <v>0</v>
      </c>
      <c r="X18" s="103">
        <v>0</v>
      </c>
    </row>
    <row r="19" spans="1:24" ht="15.95" customHeight="1" x14ac:dyDescent="0.25">
      <c r="A19" s="21" t="s">
        <v>12</v>
      </c>
      <c r="B19" s="22" t="s">
        <v>28</v>
      </c>
      <c r="C19" s="93">
        <v>6544</v>
      </c>
      <c r="D19" s="93">
        <v>2546</v>
      </c>
      <c r="E19" s="93">
        <v>0</v>
      </c>
      <c r="F19" s="93">
        <v>0</v>
      </c>
      <c r="G19" s="93">
        <v>1</v>
      </c>
      <c r="H19" s="93">
        <v>1</v>
      </c>
      <c r="I19" s="93">
        <v>1</v>
      </c>
      <c r="J19" s="98">
        <v>0</v>
      </c>
      <c r="K19" s="104">
        <v>7</v>
      </c>
      <c r="L19" s="104">
        <v>0</v>
      </c>
      <c r="M19" s="104">
        <v>6</v>
      </c>
      <c r="N19" s="104">
        <v>0</v>
      </c>
      <c r="O19" s="104">
        <v>1</v>
      </c>
      <c r="P19" s="104">
        <v>0</v>
      </c>
      <c r="Q19" s="104">
        <v>0</v>
      </c>
      <c r="R19" s="104">
        <v>0</v>
      </c>
      <c r="S19" s="104">
        <v>0</v>
      </c>
      <c r="T19" s="104">
        <v>0</v>
      </c>
      <c r="U19" s="104">
        <v>0</v>
      </c>
      <c r="V19" s="104">
        <v>0</v>
      </c>
      <c r="W19" s="104">
        <v>0</v>
      </c>
      <c r="X19" s="104">
        <v>0</v>
      </c>
    </row>
    <row r="20" spans="1:24" ht="15.95" customHeight="1" x14ac:dyDescent="0.25">
      <c r="A20" s="21" t="s">
        <v>14</v>
      </c>
      <c r="B20" s="22" t="s">
        <v>29</v>
      </c>
      <c r="C20" s="93">
        <v>9997</v>
      </c>
      <c r="D20" s="93">
        <v>5267</v>
      </c>
      <c r="E20" s="93">
        <v>14</v>
      </c>
      <c r="F20" s="93">
        <v>0</v>
      </c>
      <c r="G20" s="93">
        <v>0</v>
      </c>
      <c r="H20" s="93">
        <v>1</v>
      </c>
      <c r="I20" s="93">
        <v>1</v>
      </c>
      <c r="J20" s="98">
        <v>0</v>
      </c>
      <c r="K20" s="104">
        <v>11</v>
      </c>
      <c r="L20" s="104">
        <v>11</v>
      </c>
      <c r="M20" s="104">
        <v>7</v>
      </c>
      <c r="N20" s="104">
        <v>7</v>
      </c>
      <c r="O20" s="104">
        <v>0</v>
      </c>
      <c r="P20" s="104">
        <v>0</v>
      </c>
      <c r="Q20" s="104">
        <v>4</v>
      </c>
      <c r="R20" s="104">
        <v>4</v>
      </c>
      <c r="S20" s="104">
        <v>0</v>
      </c>
      <c r="T20" s="104">
        <v>0</v>
      </c>
      <c r="U20" s="104">
        <v>0</v>
      </c>
      <c r="V20" s="104">
        <v>0</v>
      </c>
      <c r="W20" s="104">
        <v>0</v>
      </c>
      <c r="X20" s="104">
        <v>0</v>
      </c>
    </row>
    <row r="21" spans="1:24" ht="15.95" customHeight="1" x14ac:dyDescent="0.25">
      <c r="A21" s="21" t="s">
        <v>16</v>
      </c>
      <c r="B21" s="22" t="s">
        <v>30</v>
      </c>
      <c r="C21" s="93">
        <v>13360</v>
      </c>
      <c r="D21" s="93">
        <v>9177</v>
      </c>
      <c r="E21" s="93">
        <v>8</v>
      </c>
      <c r="F21" s="93">
        <v>0</v>
      </c>
      <c r="G21" s="93">
        <v>0</v>
      </c>
      <c r="H21" s="93">
        <v>2</v>
      </c>
      <c r="I21" s="93">
        <v>2</v>
      </c>
      <c r="J21" s="98">
        <v>0</v>
      </c>
      <c r="K21" s="104">
        <v>72</v>
      </c>
      <c r="L21" s="104">
        <v>72</v>
      </c>
      <c r="M21" s="104">
        <v>71</v>
      </c>
      <c r="N21" s="104">
        <v>71</v>
      </c>
      <c r="O21" s="104">
        <v>0</v>
      </c>
      <c r="P21" s="104">
        <v>0</v>
      </c>
      <c r="Q21" s="104">
        <v>1</v>
      </c>
      <c r="R21" s="104">
        <v>1</v>
      </c>
      <c r="S21" s="104">
        <v>0</v>
      </c>
      <c r="T21" s="104">
        <v>0</v>
      </c>
      <c r="U21" s="104">
        <v>0</v>
      </c>
      <c r="V21" s="104">
        <v>0</v>
      </c>
      <c r="W21" s="104">
        <v>0</v>
      </c>
      <c r="X21" s="104">
        <v>0</v>
      </c>
    </row>
    <row r="22" spans="1:24" ht="15.95" customHeight="1" x14ac:dyDescent="0.25">
      <c r="A22" s="166" t="s">
        <v>24</v>
      </c>
      <c r="B22" s="166"/>
      <c r="C22" s="94">
        <f>SUM(C18:C21)</f>
        <v>46670</v>
      </c>
      <c r="D22" s="94">
        <f>SUM(D18:D21)</f>
        <v>24048</v>
      </c>
      <c r="E22" s="94">
        <f>SUM(E18:E21)</f>
        <v>338</v>
      </c>
      <c r="F22" s="94">
        <v>0</v>
      </c>
      <c r="G22" s="94">
        <f t="shared" ref="G22:X22" si="2">SUM(G18:G21)</f>
        <v>2</v>
      </c>
      <c r="H22" s="94">
        <f t="shared" si="2"/>
        <v>5</v>
      </c>
      <c r="I22" s="94">
        <f t="shared" si="2"/>
        <v>5</v>
      </c>
      <c r="J22" s="99">
        <f t="shared" si="2"/>
        <v>0</v>
      </c>
      <c r="K22" s="94">
        <f t="shared" si="2"/>
        <v>101</v>
      </c>
      <c r="L22" s="94">
        <f t="shared" si="2"/>
        <v>93</v>
      </c>
      <c r="M22" s="94">
        <f t="shared" si="2"/>
        <v>94</v>
      </c>
      <c r="N22" s="94">
        <f t="shared" si="2"/>
        <v>87</v>
      </c>
      <c r="O22" s="94">
        <f t="shared" si="2"/>
        <v>2</v>
      </c>
      <c r="P22" s="94">
        <f t="shared" si="2"/>
        <v>1</v>
      </c>
      <c r="Q22" s="94">
        <f t="shared" si="2"/>
        <v>5</v>
      </c>
      <c r="R22" s="94">
        <f t="shared" si="2"/>
        <v>5</v>
      </c>
      <c r="S22" s="94">
        <f t="shared" si="2"/>
        <v>0</v>
      </c>
      <c r="T22" s="94">
        <f t="shared" si="2"/>
        <v>0</v>
      </c>
      <c r="U22" s="109">
        <f t="shared" si="2"/>
        <v>0</v>
      </c>
      <c r="V22" s="94">
        <f t="shared" si="2"/>
        <v>0</v>
      </c>
      <c r="W22" s="94">
        <f t="shared" si="2"/>
        <v>0</v>
      </c>
      <c r="X22" s="94">
        <f t="shared" si="2"/>
        <v>0</v>
      </c>
    </row>
    <row r="23" spans="1:24" ht="15.95" customHeight="1" x14ac:dyDescent="0.25">
      <c r="A23" s="166" t="s">
        <v>25</v>
      </c>
      <c r="B23" s="166"/>
      <c r="C23" s="95">
        <f>C22/4</f>
        <v>11667.5</v>
      </c>
      <c r="D23" s="95">
        <f>D22/4</f>
        <v>6012</v>
      </c>
      <c r="E23" s="95">
        <f>E22/4</f>
        <v>84.5</v>
      </c>
      <c r="F23" s="95">
        <v>0</v>
      </c>
      <c r="G23" s="95">
        <f t="shared" ref="G23:S23" si="3">G22/4</f>
        <v>0.5</v>
      </c>
      <c r="H23" s="95">
        <f t="shared" si="3"/>
        <v>1.25</v>
      </c>
      <c r="I23" s="95">
        <f t="shared" si="3"/>
        <v>1.25</v>
      </c>
      <c r="J23" s="100">
        <f t="shared" si="3"/>
        <v>0</v>
      </c>
      <c r="K23" s="95">
        <f t="shared" si="3"/>
        <v>25.25</v>
      </c>
      <c r="L23" s="95">
        <f t="shared" si="3"/>
        <v>23.25</v>
      </c>
      <c r="M23" s="95">
        <f t="shared" si="3"/>
        <v>23.5</v>
      </c>
      <c r="N23" s="95">
        <f t="shared" si="3"/>
        <v>21.75</v>
      </c>
      <c r="O23" s="95">
        <f t="shared" si="3"/>
        <v>0.5</v>
      </c>
      <c r="P23" s="95">
        <f t="shared" si="3"/>
        <v>0.25</v>
      </c>
      <c r="Q23" s="95">
        <f t="shared" si="3"/>
        <v>1.25</v>
      </c>
      <c r="R23" s="95">
        <f t="shared" si="3"/>
        <v>1.25</v>
      </c>
      <c r="S23" s="95">
        <f t="shared" si="3"/>
        <v>0</v>
      </c>
      <c r="T23" s="95">
        <v>0</v>
      </c>
      <c r="U23" s="95">
        <f>U22/4</f>
        <v>0</v>
      </c>
      <c r="V23" s="95">
        <f>V22/4</f>
        <v>0</v>
      </c>
      <c r="W23" s="95">
        <v>0</v>
      </c>
      <c r="X23" s="95">
        <f>X22/4</f>
        <v>0</v>
      </c>
    </row>
    <row r="24" spans="1:24" ht="28.5" customHeight="1" x14ac:dyDescent="0.25">
      <c r="A24" s="146" t="s">
        <v>31</v>
      </c>
      <c r="B24" s="146"/>
      <c r="C24" s="96">
        <f>SUM(C15,C22)</f>
        <v>120280</v>
      </c>
      <c r="D24" s="96">
        <f>SUM(D15,D22)</f>
        <v>73990</v>
      </c>
      <c r="E24" s="96">
        <f>SUM(E15,E22)</f>
        <v>345</v>
      </c>
      <c r="F24" s="96">
        <v>0</v>
      </c>
      <c r="G24" s="96">
        <f t="shared" ref="G24:X24" si="4">SUM(G15,G22)</f>
        <v>12</v>
      </c>
      <c r="H24" s="96">
        <f t="shared" si="4"/>
        <v>34</v>
      </c>
      <c r="I24" s="96">
        <f t="shared" si="4"/>
        <v>30</v>
      </c>
      <c r="J24" s="101">
        <f t="shared" si="4"/>
        <v>16</v>
      </c>
      <c r="K24" s="105">
        <f t="shared" si="4"/>
        <v>424</v>
      </c>
      <c r="L24" s="105">
        <f t="shared" si="4"/>
        <v>248</v>
      </c>
      <c r="M24" s="105">
        <f t="shared" si="4"/>
        <v>295</v>
      </c>
      <c r="N24" s="105">
        <f t="shared" si="4"/>
        <v>156</v>
      </c>
      <c r="O24" s="105">
        <f t="shared" si="4"/>
        <v>120</v>
      </c>
      <c r="P24" s="105">
        <f t="shared" si="4"/>
        <v>87</v>
      </c>
      <c r="Q24" s="105">
        <f t="shared" si="4"/>
        <v>9</v>
      </c>
      <c r="R24" s="105">
        <f t="shared" si="4"/>
        <v>5</v>
      </c>
      <c r="S24" s="105">
        <f t="shared" si="4"/>
        <v>157</v>
      </c>
      <c r="T24" s="105">
        <f t="shared" si="4"/>
        <v>157</v>
      </c>
      <c r="U24" s="105">
        <f t="shared" si="4"/>
        <v>0</v>
      </c>
      <c r="V24" s="105">
        <f t="shared" si="4"/>
        <v>5</v>
      </c>
      <c r="W24" s="105">
        <f t="shared" si="4"/>
        <v>0</v>
      </c>
      <c r="X24" s="105">
        <f t="shared" si="4"/>
        <v>0</v>
      </c>
    </row>
    <row r="25" spans="1:24" ht="30" customHeight="1" x14ac:dyDescent="0.25">
      <c r="A25" s="146" t="s">
        <v>32</v>
      </c>
      <c r="B25" s="146"/>
      <c r="C25" s="97">
        <f>C24/11</f>
        <v>10934.545454545454</v>
      </c>
      <c r="D25" s="97">
        <f>D24/11</f>
        <v>6726.363636363636</v>
      </c>
      <c r="E25" s="97">
        <f>E24/11</f>
        <v>31.363636363636363</v>
      </c>
      <c r="F25" s="97">
        <v>0</v>
      </c>
      <c r="G25" s="97">
        <f t="shared" ref="G25:X25" si="5">G24/11</f>
        <v>1.0909090909090908</v>
      </c>
      <c r="H25" s="97">
        <f t="shared" si="5"/>
        <v>3.0909090909090908</v>
      </c>
      <c r="I25" s="97">
        <f t="shared" si="5"/>
        <v>2.7272727272727271</v>
      </c>
      <c r="J25" s="97">
        <f t="shared" si="5"/>
        <v>1.4545454545454546</v>
      </c>
      <c r="K25" s="97">
        <f t="shared" si="5"/>
        <v>38.545454545454547</v>
      </c>
      <c r="L25" s="97">
        <f t="shared" si="5"/>
        <v>22.545454545454547</v>
      </c>
      <c r="M25" s="97">
        <f t="shared" si="5"/>
        <v>26.818181818181817</v>
      </c>
      <c r="N25" s="97">
        <f t="shared" si="5"/>
        <v>14.181818181818182</v>
      </c>
      <c r="O25" s="97">
        <f t="shared" si="5"/>
        <v>10.909090909090908</v>
      </c>
      <c r="P25" s="97">
        <f t="shared" si="5"/>
        <v>7.9090909090909092</v>
      </c>
      <c r="Q25" s="97">
        <f t="shared" si="5"/>
        <v>0.81818181818181823</v>
      </c>
      <c r="R25" s="97">
        <f t="shared" si="5"/>
        <v>0.45454545454545453</v>
      </c>
      <c r="S25" s="97">
        <f t="shared" si="5"/>
        <v>14.272727272727273</v>
      </c>
      <c r="T25" s="97">
        <f t="shared" si="5"/>
        <v>14.272727272727273</v>
      </c>
      <c r="U25" s="97">
        <f t="shared" si="5"/>
        <v>0</v>
      </c>
      <c r="V25" s="97">
        <f t="shared" si="5"/>
        <v>0.45454545454545453</v>
      </c>
      <c r="W25" s="97">
        <f t="shared" si="5"/>
        <v>0</v>
      </c>
      <c r="X25" s="97">
        <f t="shared" si="5"/>
        <v>0</v>
      </c>
    </row>
  </sheetData>
  <mergeCells count="27">
    <mergeCell ref="G4:G6"/>
    <mergeCell ref="A4:A6"/>
    <mergeCell ref="B4:B6"/>
    <mergeCell ref="C4:D5"/>
    <mergeCell ref="E4:E6"/>
    <mergeCell ref="F4:F6"/>
    <mergeCell ref="J4:J6"/>
    <mergeCell ref="K4:R4"/>
    <mergeCell ref="S4:U5"/>
    <mergeCell ref="V4:V6"/>
    <mergeCell ref="W4:W6"/>
    <mergeCell ref="A24:B24"/>
    <mergeCell ref="A25:B25"/>
    <mergeCell ref="A2:X2"/>
    <mergeCell ref="A7:J7"/>
    <mergeCell ref="A15:B15"/>
    <mergeCell ref="A16:B16"/>
    <mergeCell ref="A17:J17"/>
    <mergeCell ref="A22:B22"/>
    <mergeCell ref="A23:B23"/>
    <mergeCell ref="X4:X6"/>
    <mergeCell ref="K5:K6"/>
    <mergeCell ref="L5:L6"/>
    <mergeCell ref="M5:N5"/>
    <mergeCell ref="O5:P5"/>
    <mergeCell ref="Q5:R5"/>
    <mergeCell ref="H4:I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27"/>
  <sheetViews>
    <sheetView workbookViewId="0">
      <selection activeCell="AC16" sqref="AC16"/>
    </sheetView>
  </sheetViews>
  <sheetFormatPr defaultRowHeight="15" x14ac:dyDescent="0.25"/>
  <cols>
    <col min="1" max="1" width="5.85546875" customWidth="1"/>
    <col min="2" max="2" width="26.5703125" customWidth="1"/>
    <col min="3" max="3" width="9.42578125" customWidth="1"/>
    <col min="4" max="4" width="8.28515625" customWidth="1"/>
    <col min="5" max="5" width="8" customWidth="1"/>
    <col min="6" max="7" width="7.140625" customWidth="1"/>
    <col min="8" max="8" width="7.42578125" customWidth="1"/>
    <col min="9" max="9" width="7.140625" customWidth="1"/>
    <col min="10" max="10" width="7.28515625" customWidth="1"/>
    <col min="11" max="11" width="8.5703125" customWidth="1"/>
    <col min="12" max="12" width="7.28515625" customWidth="1"/>
    <col min="13" max="13" width="7.7109375" customWidth="1"/>
    <col min="14" max="14" width="7.28515625" customWidth="1"/>
    <col min="15" max="15" width="7.42578125" customWidth="1"/>
    <col min="16" max="16" width="7.28515625" customWidth="1"/>
    <col min="17" max="17" width="7.7109375" customWidth="1"/>
    <col min="18" max="18" width="7.5703125" customWidth="1"/>
    <col min="19" max="19" width="8.28515625" customWidth="1"/>
    <col min="20" max="20" width="8.5703125" customWidth="1"/>
    <col min="21" max="21" width="7.7109375" customWidth="1"/>
    <col min="22" max="22" width="7.140625" customWidth="1"/>
    <col min="23" max="23" width="7.42578125" customWidth="1"/>
    <col min="24" max="24" width="7" customWidth="1"/>
    <col min="25" max="25" width="7.28515625" customWidth="1"/>
    <col min="26" max="26" width="7.140625" customWidth="1"/>
  </cols>
  <sheetData>
    <row r="1" spans="1:26" ht="15.75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15.75" x14ac:dyDescent="0.25">
      <c r="A2" s="170" t="s">
        <v>86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</row>
    <row r="3" spans="1:26" ht="15.75" x14ac:dyDescent="0.25">
      <c r="A3" s="170" t="s">
        <v>100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</row>
    <row r="4" spans="1:26" ht="15.75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18" customHeight="1" x14ac:dyDescent="0.25">
      <c r="A5" s="171" t="s">
        <v>0</v>
      </c>
      <c r="B5" s="171" t="s">
        <v>1</v>
      </c>
      <c r="C5" s="181" t="s">
        <v>99</v>
      </c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3"/>
    </row>
    <row r="6" spans="1:26" ht="17.25" customHeight="1" x14ac:dyDescent="0.25">
      <c r="A6" s="172"/>
      <c r="B6" s="172"/>
      <c r="C6" s="184" t="s">
        <v>79</v>
      </c>
      <c r="D6" s="185"/>
      <c r="E6" s="185"/>
      <c r="F6" s="186"/>
      <c r="G6" s="181" t="s">
        <v>80</v>
      </c>
      <c r="H6" s="182"/>
      <c r="I6" s="182"/>
      <c r="J6" s="183"/>
      <c r="K6" s="184" t="s">
        <v>85</v>
      </c>
      <c r="L6" s="185"/>
      <c r="M6" s="185"/>
      <c r="N6" s="186"/>
      <c r="O6" s="181" t="s">
        <v>80</v>
      </c>
      <c r="P6" s="182"/>
      <c r="Q6" s="182"/>
      <c r="R6" s="183"/>
      <c r="S6" s="184" t="s">
        <v>83</v>
      </c>
      <c r="T6" s="185"/>
      <c r="U6" s="185"/>
      <c r="V6" s="186"/>
      <c r="W6" s="181" t="s">
        <v>80</v>
      </c>
      <c r="X6" s="182"/>
      <c r="Y6" s="182"/>
      <c r="Z6" s="183"/>
    </row>
    <row r="7" spans="1:26" ht="15" customHeight="1" x14ac:dyDescent="0.25">
      <c r="A7" s="172"/>
      <c r="B7" s="172"/>
      <c r="C7" s="187"/>
      <c r="D7" s="188"/>
      <c r="E7" s="188"/>
      <c r="F7" s="189"/>
      <c r="G7" s="190" t="s">
        <v>81</v>
      </c>
      <c r="H7" s="191"/>
      <c r="I7" s="191"/>
      <c r="J7" s="192"/>
      <c r="K7" s="187"/>
      <c r="L7" s="188"/>
      <c r="M7" s="188"/>
      <c r="N7" s="189"/>
      <c r="O7" s="190" t="s">
        <v>82</v>
      </c>
      <c r="P7" s="191"/>
      <c r="Q7" s="191"/>
      <c r="R7" s="192"/>
      <c r="S7" s="187"/>
      <c r="T7" s="188"/>
      <c r="U7" s="188"/>
      <c r="V7" s="189"/>
      <c r="W7" s="181" t="s">
        <v>82</v>
      </c>
      <c r="X7" s="182"/>
      <c r="Y7" s="182"/>
      <c r="Z7" s="183"/>
    </row>
    <row r="8" spans="1:26" ht="28.5" customHeight="1" x14ac:dyDescent="0.25">
      <c r="A8" s="173"/>
      <c r="B8" s="173"/>
      <c r="C8" s="49" t="s">
        <v>84</v>
      </c>
      <c r="D8" s="49" t="s">
        <v>3</v>
      </c>
      <c r="E8" s="49" t="s">
        <v>51</v>
      </c>
      <c r="F8" s="49" t="s">
        <v>52</v>
      </c>
      <c r="G8" s="49" t="s">
        <v>84</v>
      </c>
      <c r="H8" s="49" t="s">
        <v>3</v>
      </c>
      <c r="I8" s="49" t="s">
        <v>51</v>
      </c>
      <c r="J8" s="49" t="s">
        <v>52</v>
      </c>
      <c r="K8" s="49" t="s">
        <v>84</v>
      </c>
      <c r="L8" s="49" t="s">
        <v>3</v>
      </c>
      <c r="M8" s="49" t="s">
        <v>51</v>
      </c>
      <c r="N8" s="49" t="s">
        <v>52</v>
      </c>
      <c r="O8" s="49" t="s">
        <v>84</v>
      </c>
      <c r="P8" s="49" t="s">
        <v>3</v>
      </c>
      <c r="Q8" s="49" t="s">
        <v>51</v>
      </c>
      <c r="R8" s="49" t="s">
        <v>52</v>
      </c>
      <c r="S8" s="49" t="s">
        <v>84</v>
      </c>
      <c r="T8" s="49" t="s">
        <v>3</v>
      </c>
      <c r="U8" s="49" t="s">
        <v>51</v>
      </c>
      <c r="V8" s="49" t="s">
        <v>52</v>
      </c>
      <c r="W8" s="49" t="s">
        <v>84</v>
      </c>
      <c r="X8" s="49" t="s">
        <v>3</v>
      </c>
      <c r="Y8" s="49" t="s">
        <v>51</v>
      </c>
      <c r="Z8" s="49" t="s">
        <v>52</v>
      </c>
    </row>
    <row r="9" spans="1:26" ht="15.75" x14ac:dyDescent="0.25">
      <c r="A9" s="175" t="s">
        <v>8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7"/>
    </row>
    <row r="10" spans="1:26" ht="17.25" customHeight="1" x14ac:dyDescent="0.25">
      <c r="A10" s="15" t="s">
        <v>9</v>
      </c>
      <c r="B10" s="30" t="s">
        <v>10</v>
      </c>
      <c r="C10" s="50">
        <v>390</v>
      </c>
      <c r="D10" s="50">
        <v>101</v>
      </c>
      <c r="E10" s="50">
        <v>272</v>
      </c>
      <c r="F10" s="50" t="s">
        <v>11</v>
      </c>
      <c r="G10" s="50">
        <v>49</v>
      </c>
      <c r="H10" s="50">
        <v>11</v>
      </c>
      <c r="I10" s="50">
        <v>36</v>
      </c>
      <c r="J10" s="50" t="s">
        <v>11</v>
      </c>
      <c r="K10" s="50">
        <v>391</v>
      </c>
      <c r="L10" s="50">
        <v>99</v>
      </c>
      <c r="M10" s="50">
        <v>275</v>
      </c>
      <c r="N10" s="50" t="s">
        <v>11</v>
      </c>
      <c r="O10" s="50">
        <v>48</v>
      </c>
      <c r="P10" s="50">
        <v>10</v>
      </c>
      <c r="Q10" s="50">
        <v>36</v>
      </c>
      <c r="R10" s="50" t="s">
        <v>11</v>
      </c>
      <c r="S10" s="50">
        <v>501</v>
      </c>
      <c r="T10" s="50">
        <v>132</v>
      </c>
      <c r="U10" s="50">
        <v>352</v>
      </c>
      <c r="V10" s="50" t="s">
        <v>11</v>
      </c>
      <c r="W10" s="50">
        <v>80</v>
      </c>
      <c r="X10" s="50">
        <v>17</v>
      </c>
      <c r="Y10" s="50">
        <v>61</v>
      </c>
      <c r="Z10" s="50" t="s">
        <v>11</v>
      </c>
    </row>
    <row r="11" spans="1:26" ht="15.75" x14ac:dyDescent="0.25">
      <c r="A11" s="15" t="s">
        <v>12</v>
      </c>
      <c r="B11" s="30" t="s">
        <v>13</v>
      </c>
      <c r="C11" s="50">
        <v>377</v>
      </c>
      <c r="D11" s="50">
        <v>48</v>
      </c>
      <c r="E11" s="50">
        <v>19</v>
      </c>
      <c r="F11" s="50">
        <v>310</v>
      </c>
      <c r="G11" s="50">
        <v>81</v>
      </c>
      <c r="H11" s="50">
        <v>8</v>
      </c>
      <c r="I11" s="50">
        <v>4</v>
      </c>
      <c r="J11" s="50">
        <v>69</v>
      </c>
      <c r="K11" s="50">
        <v>377</v>
      </c>
      <c r="L11" s="50">
        <v>48</v>
      </c>
      <c r="M11" s="50">
        <v>19</v>
      </c>
      <c r="N11" s="50">
        <v>310</v>
      </c>
      <c r="O11" s="50">
        <v>79</v>
      </c>
      <c r="P11" s="50">
        <v>6</v>
      </c>
      <c r="Q11" s="50">
        <v>4</v>
      </c>
      <c r="R11" s="50">
        <v>69</v>
      </c>
      <c r="S11" s="50">
        <v>675</v>
      </c>
      <c r="T11" s="50">
        <v>110</v>
      </c>
      <c r="U11" s="50">
        <v>34</v>
      </c>
      <c r="V11" s="50">
        <v>531</v>
      </c>
      <c r="W11" s="50">
        <v>118</v>
      </c>
      <c r="X11" s="110">
        <v>15</v>
      </c>
      <c r="Y11" s="110">
        <v>8</v>
      </c>
      <c r="Z11" s="110">
        <v>95</v>
      </c>
    </row>
    <row r="12" spans="1:26" ht="15.75" x14ac:dyDescent="0.25">
      <c r="A12" s="15" t="s">
        <v>14</v>
      </c>
      <c r="B12" s="30" t="s">
        <v>15</v>
      </c>
      <c r="C12" s="50">
        <v>331</v>
      </c>
      <c r="D12" s="50">
        <v>60</v>
      </c>
      <c r="E12" s="50">
        <v>20</v>
      </c>
      <c r="F12" s="50">
        <v>251</v>
      </c>
      <c r="G12" s="50">
        <v>79</v>
      </c>
      <c r="H12" s="50">
        <v>12</v>
      </c>
      <c r="I12" s="50">
        <v>4</v>
      </c>
      <c r="J12" s="50">
        <v>63</v>
      </c>
      <c r="K12" s="50">
        <v>331</v>
      </c>
      <c r="L12" s="50">
        <v>60</v>
      </c>
      <c r="M12" s="50">
        <v>20</v>
      </c>
      <c r="N12" s="50">
        <v>251</v>
      </c>
      <c r="O12" s="50">
        <v>79</v>
      </c>
      <c r="P12" s="50">
        <v>12</v>
      </c>
      <c r="Q12" s="50">
        <v>4</v>
      </c>
      <c r="R12" s="50">
        <v>63</v>
      </c>
      <c r="S12" s="50">
        <v>572</v>
      </c>
      <c r="T12" s="50">
        <v>98</v>
      </c>
      <c r="U12" s="50">
        <v>46</v>
      </c>
      <c r="V12" s="50">
        <v>428</v>
      </c>
      <c r="W12" s="50">
        <v>99</v>
      </c>
      <c r="X12" s="110">
        <v>15</v>
      </c>
      <c r="Y12" s="110">
        <v>7</v>
      </c>
      <c r="Z12" s="110">
        <v>77</v>
      </c>
    </row>
    <row r="13" spans="1:26" ht="15.75" x14ac:dyDescent="0.25">
      <c r="A13" s="15" t="s">
        <v>16</v>
      </c>
      <c r="B13" s="30" t="s">
        <v>17</v>
      </c>
      <c r="C13" s="50">
        <v>131</v>
      </c>
      <c r="D13" s="50">
        <v>65</v>
      </c>
      <c r="E13" s="50">
        <v>66</v>
      </c>
      <c r="F13" s="50" t="s">
        <v>11</v>
      </c>
      <c r="G13" s="50">
        <v>27</v>
      </c>
      <c r="H13" s="50">
        <v>15</v>
      </c>
      <c r="I13" s="50">
        <v>12</v>
      </c>
      <c r="J13" s="50" t="s">
        <v>11</v>
      </c>
      <c r="K13" s="50">
        <v>131</v>
      </c>
      <c r="L13" s="50">
        <v>65</v>
      </c>
      <c r="M13" s="50">
        <v>66</v>
      </c>
      <c r="N13" s="50" t="s">
        <v>11</v>
      </c>
      <c r="O13" s="50">
        <v>27</v>
      </c>
      <c r="P13" s="50">
        <v>15</v>
      </c>
      <c r="Q13" s="50">
        <v>12</v>
      </c>
      <c r="R13" s="50" t="s">
        <v>11</v>
      </c>
      <c r="S13" s="50">
        <v>126</v>
      </c>
      <c r="T13" s="50">
        <v>65</v>
      </c>
      <c r="U13" s="50">
        <v>61</v>
      </c>
      <c r="V13" s="50" t="s">
        <v>11</v>
      </c>
      <c r="W13" s="50">
        <v>27</v>
      </c>
      <c r="X13" s="110">
        <v>15</v>
      </c>
      <c r="Y13" s="110">
        <v>12</v>
      </c>
      <c r="Z13" s="110" t="s">
        <v>11</v>
      </c>
    </row>
    <row r="14" spans="1:26" ht="15.75" x14ac:dyDescent="0.25">
      <c r="A14" s="15" t="s">
        <v>18</v>
      </c>
      <c r="B14" s="30" t="s">
        <v>19</v>
      </c>
      <c r="C14" s="50">
        <v>128</v>
      </c>
      <c r="D14" s="50">
        <v>128</v>
      </c>
      <c r="E14" s="50" t="s">
        <v>11</v>
      </c>
      <c r="F14" s="50" t="s">
        <v>11</v>
      </c>
      <c r="G14" s="50">
        <v>27</v>
      </c>
      <c r="H14" s="50">
        <v>27</v>
      </c>
      <c r="I14" s="50" t="s">
        <v>11</v>
      </c>
      <c r="J14" s="50" t="s">
        <v>11</v>
      </c>
      <c r="K14" s="50">
        <v>96</v>
      </c>
      <c r="L14" s="50">
        <v>96</v>
      </c>
      <c r="M14" s="50" t="s">
        <v>11</v>
      </c>
      <c r="N14" s="50" t="s">
        <v>11</v>
      </c>
      <c r="O14" s="50">
        <v>17</v>
      </c>
      <c r="P14" s="50">
        <v>17</v>
      </c>
      <c r="Q14" s="50" t="s">
        <v>11</v>
      </c>
      <c r="R14" s="50" t="s">
        <v>11</v>
      </c>
      <c r="S14" s="50">
        <v>169</v>
      </c>
      <c r="T14" s="50">
        <v>169</v>
      </c>
      <c r="U14" s="50" t="s">
        <v>11</v>
      </c>
      <c r="V14" s="50" t="s">
        <v>11</v>
      </c>
      <c r="W14" s="50">
        <v>30</v>
      </c>
      <c r="X14" s="110">
        <v>30</v>
      </c>
      <c r="Y14" s="110" t="s">
        <v>11</v>
      </c>
      <c r="Z14" s="110" t="s">
        <v>11</v>
      </c>
    </row>
    <row r="15" spans="1:26" ht="15.75" x14ac:dyDescent="0.25">
      <c r="A15" s="15" t="s">
        <v>20</v>
      </c>
      <c r="B15" s="30" t="s">
        <v>21</v>
      </c>
      <c r="C15" s="50">
        <v>4239</v>
      </c>
      <c r="D15" s="50">
        <v>797</v>
      </c>
      <c r="E15" s="50">
        <v>283</v>
      </c>
      <c r="F15" s="50">
        <v>3159</v>
      </c>
      <c r="G15" s="50">
        <v>44</v>
      </c>
      <c r="H15" s="50">
        <v>8</v>
      </c>
      <c r="I15" s="50">
        <v>2</v>
      </c>
      <c r="J15" s="50">
        <v>34</v>
      </c>
      <c r="K15" s="50">
        <v>254</v>
      </c>
      <c r="L15" s="50">
        <v>60</v>
      </c>
      <c r="M15" s="50">
        <v>14</v>
      </c>
      <c r="N15" s="50">
        <v>180</v>
      </c>
      <c r="O15" s="50">
        <v>43</v>
      </c>
      <c r="P15" s="50">
        <v>7</v>
      </c>
      <c r="Q15" s="50">
        <v>2</v>
      </c>
      <c r="R15" s="50">
        <v>34</v>
      </c>
      <c r="S15" s="50">
        <v>750</v>
      </c>
      <c r="T15" s="50">
        <v>351</v>
      </c>
      <c r="U15" s="50">
        <v>30</v>
      </c>
      <c r="V15" s="50">
        <v>369</v>
      </c>
      <c r="W15" s="50">
        <v>67</v>
      </c>
      <c r="X15" s="110">
        <v>14</v>
      </c>
      <c r="Y15" s="110">
        <v>4</v>
      </c>
      <c r="Z15" s="110">
        <v>49</v>
      </c>
    </row>
    <row r="16" spans="1:26" ht="15.75" x14ac:dyDescent="0.25">
      <c r="A16" s="15" t="s">
        <v>22</v>
      </c>
      <c r="B16" s="30" t="s">
        <v>23</v>
      </c>
      <c r="C16" s="50">
        <v>213</v>
      </c>
      <c r="D16" s="50">
        <v>35</v>
      </c>
      <c r="E16" s="50" t="s">
        <v>11</v>
      </c>
      <c r="F16" s="50">
        <v>178</v>
      </c>
      <c r="G16" s="50">
        <v>92</v>
      </c>
      <c r="H16" s="50">
        <v>8</v>
      </c>
      <c r="I16" s="50" t="s">
        <v>11</v>
      </c>
      <c r="J16" s="50">
        <v>84</v>
      </c>
      <c r="K16" s="50">
        <v>213</v>
      </c>
      <c r="L16" s="50">
        <v>35</v>
      </c>
      <c r="M16" s="50" t="s">
        <v>11</v>
      </c>
      <c r="N16" s="50">
        <v>178</v>
      </c>
      <c r="O16" s="50">
        <v>92</v>
      </c>
      <c r="P16" s="50">
        <v>8</v>
      </c>
      <c r="Q16" s="50" t="s">
        <v>11</v>
      </c>
      <c r="R16" s="50">
        <v>84</v>
      </c>
      <c r="S16" s="50">
        <v>213</v>
      </c>
      <c r="T16" s="50">
        <v>35</v>
      </c>
      <c r="U16" s="50" t="s">
        <v>11</v>
      </c>
      <c r="V16" s="50">
        <v>178</v>
      </c>
      <c r="W16" s="50">
        <v>92</v>
      </c>
      <c r="X16" s="110">
        <v>8</v>
      </c>
      <c r="Y16" s="110" t="s">
        <v>11</v>
      </c>
      <c r="Z16" s="110">
        <v>84</v>
      </c>
    </row>
    <row r="17" spans="1:26" ht="15.75" x14ac:dyDescent="0.25">
      <c r="A17" s="174" t="s">
        <v>24</v>
      </c>
      <c r="B17" s="174"/>
      <c r="C17" s="80">
        <f t="shared" ref="C17:Z17" si="0">SUM(C10:C16)</f>
        <v>5809</v>
      </c>
      <c r="D17" s="80">
        <f t="shared" si="0"/>
        <v>1234</v>
      </c>
      <c r="E17" s="80">
        <f t="shared" si="0"/>
        <v>660</v>
      </c>
      <c r="F17" s="80">
        <f t="shared" si="0"/>
        <v>3898</v>
      </c>
      <c r="G17" s="80">
        <f t="shared" si="0"/>
        <v>399</v>
      </c>
      <c r="H17" s="80">
        <f t="shared" si="0"/>
        <v>89</v>
      </c>
      <c r="I17" s="80">
        <f t="shared" si="0"/>
        <v>58</v>
      </c>
      <c r="J17" s="80">
        <f t="shared" si="0"/>
        <v>250</v>
      </c>
      <c r="K17" s="80">
        <f t="shared" si="0"/>
        <v>1793</v>
      </c>
      <c r="L17" s="80">
        <f t="shared" si="0"/>
        <v>463</v>
      </c>
      <c r="M17" s="80">
        <f t="shared" si="0"/>
        <v>394</v>
      </c>
      <c r="N17" s="80">
        <f t="shared" si="0"/>
        <v>919</v>
      </c>
      <c r="O17" s="80">
        <f t="shared" si="0"/>
        <v>385</v>
      </c>
      <c r="P17" s="80">
        <f t="shared" si="0"/>
        <v>75</v>
      </c>
      <c r="Q17" s="80">
        <f t="shared" si="0"/>
        <v>58</v>
      </c>
      <c r="R17" s="80">
        <f t="shared" si="0"/>
        <v>250</v>
      </c>
      <c r="S17" s="80">
        <f t="shared" si="0"/>
        <v>3006</v>
      </c>
      <c r="T17" s="80">
        <f t="shared" si="0"/>
        <v>960</v>
      </c>
      <c r="U17" s="80">
        <f t="shared" si="0"/>
        <v>523</v>
      </c>
      <c r="V17" s="80">
        <f t="shared" si="0"/>
        <v>1506</v>
      </c>
      <c r="W17" s="80">
        <f t="shared" si="0"/>
        <v>513</v>
      </c>
      <c r="X17" s="80">
        <f t="shared" si="0"/>
        <v>114</v>
      </c>
      <c r="Y17" s="80">
        <f t="shared" si="0"/>
        <v>92</v>
      </c>
      <c r="Z17" s="80">
        <f t="shared" si="0"/>
        <v>305</v>
      </c>
    </row>
    <row r="18" spans="1:26" ht="15.75" x14ac:dyDescent="0.25">
      <c r="A18" s="174" t="s">
        <v>25</v>
      </c>
      <c r="B18" s="174"/>
      <c r="C18" s="81">
        <f>C17/7</f>
        <v>829.85714285714289</v>
      </c>
      <c r="D18" s="81">
        <f>D17/7</f>
        <v>176.28571428571428</v>
      </c>
      <c r="E18" s="81">
        <f>E17/5</f>
        <v>132</v>
      </c>
      <c r="F18" s="81">
        <f>F17/4</f>
        <v>974.5</v>
      </c>
      <c r="G18" s="81">
        <f>G17/7</f>
        <v>57</v>
      </c>
      <c r="H18" s="81">
        <f>H17/7</f>
        <v>12.714285714285714</v>
      </c>
      <c r="I18" s="81">
        <f>I17/5</f>
        <v>11.6</v>
      </c>
      <c r="J18" s="81">
        <f>J17/4</f>
        <v>62.5</v>
      </c>
      <c r="K18" s="81">
        <f>K17/7</f>
        <v>256.14285714285717</v>
      </c>
      <c r="L18" s="81">
        <f>L17/7</f>
        <v>66.142857142857139</v>
      </c>
      <c r="M18" s="81">
        <f>M17/5</f>
        <v>78.8</v>
      </c>
      <c r="N18" s="81">
        <f>N17/4</f>
        <v>229.75</v>
      </c>
      <c r="O18" s="81">
        <f>O17/7</f>
        <v>55</v>
      </c>
      <c r="P18" s="81">
        <f>P17/7</f>
        <v>10.714285714285714</v>
      </c>
      <c r="Q18" s="81">
        <f>Q17/5</f>
        <v>11.6</v>
      </c>
      <c r="R18" s="81">
        <f>R17/4</f>
        <v>62.5</v>
      </c>
      <c r="S18" s="81">
        <f>S17/7</f>
        <v>429.42857142857144</v>
      </c>
      <c r="T18" s="81">
        <f>T17/7</f>
        <v>137.14285714285714</v>
      </c>
      <c r="U18" s="81">
        <f>U17/5</f>
        <v>104.6</v>
      </c>
      <c r="V18" s="81">
        <f>V17/4</f>
        <v>376.5</v>
      </c>
      <c r="W18" s="81">
        <f>W17/7</f>
        <v>73.285714285714292</v>
      </c>
      <c r="X18" s="81">
        <f>X17/7</f>
        <v>16.285714285714285</v>
      </c>
      <c r="Y18" s="81">
        <f>Y17/5</f>
        <v>18.399999999999999</v>
      </c>
      <c r="Z18" s="81">
        <f>Z17/4</f>
        <v>76.25</v>
      </c>
    </row>
    <row r="19" spans="1:26" ht="15.75" x14ac:dyDescent="0.25">
      <c r="A19" s="178" t="s">
        <v>26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80"/>
    </row>
    <row r="20" spans="1:26" ht="15.75" customHeight="1" x14ac:dyDescent="0.25">
      <c r="A20" s="21" t="s">
        <v>9</v>
      </c>
      <c r="B20" s="22" t="s">
        <v>27</v>
      </c>
      <c r="C20" s="50">
        <v>384</v>
      </c>
      <c r="D20" s="50">
        <v>51</v>
      </c>
      <c r="E20" s="50">
        <v>16</v>
      </c>
      <c r="F20" s="50">
        <v>317</v>
      </c>
      <c r="G20" s="50">
        <v>87</v>
      </c>
      <c r="H20" s="50">
        <v>8</v>
      </c>
      <c r="I20" s="50">
        <v>4</v>
      </c>
      <c r="J20" s="50">
        <v>75</v>
      </c>
      <c r="K20" s="50">
        <v>384</v>
      </c>
      <c r="L20" s="50">
        <v>51</v>
      </c>
      <c r="M20" s="50">
        <v>16</v>
      </c>
      <c r="N20" s="50">
        <v>317</v>
      </c>
      <c r="O20" s="50">
        <v>87</v>
      </c>
      <c r="P20" s="50">
        <v>8</v>
      </c>
      <c r="Q20" s="50">
        <v>4</v>
      </c>
      <c r="R20" s="50">
        <v>75</v>
      </c>
      <c r="S20" s="50">
        <v>618</v>
      </c>
      <c r="T20" s="50">
        <v>107</v>
      </c>
      <c r="U20" s="50">
        <v>30</v>
      </c>
      <c r="V20" s="50">
        <v>481</v>
      </c>
      <c r="W20" s="50">
        <v>111</v>
      </c>
      <c r="X20" s="110">
        <v>15</v>
      </c>
      <c r="Y20" s="110">
        <v>6</v>
      </c>
      <c r="Z20" s="110">
        <v>90</v>
      </c>
    </row>
    <row r="21" spans="1:26" ht="17.25" customHeight="1" x14ac:dyDescent="0.25">
      <c r="A21" s="21" t="s">
        <v>12</v>
      </c>
      <c r="B21" s="20" t="s">
        <v>28</v>
      </c>
      <c r="C21" s="50">
        <v>307</v>
      </c>
      <c r="D21" s="50">
        <v>59</v>
      </c>
      <c r="E21" s="50" t="s">
        <v>11</v>
      </c>
      <c r="F21" s="50">
        <v>248</v>
      </c>
      <c r="G21" s="50">
        <v>46</v>
      </c>
      <c r="H21" s="50">
        <v>10</v>
      </c>
      <c r="I21" s="50" t="s">
        <v>11</v>
      </c>
      <c r="J21" s="50">
        <v>36</v>
      </c>
      <c r="K21" s="50">
        <v>307</v>
      </c>
      <c r="L21" s="50">
        <v>59</v>
      </c>
      <c r="M21" s="50" t="s">
        <v>11</v>
      </c>
      <c r="N21" s="50">
        <v>248</v>
      </c>
      <c r="O21" s="50">
        <v>46</v>
      </c>
      <c r="P21" s="50">
        <v>10</v>
      </c>
      <c r="Q21" s="50" t="s">
        <v>11</v>
      </c>
      <c r="R21" s="50">
        <v>36</v>
      </c>
      <c r="S21" s="50">
        <v>358</v>
      </c>
      <c r="T21" s="50">
        <v>110</v>
      </c>
      <c r="U21" s="50" t="s">
        <v>11</v>
      </c>
      <c r="V21" s="50">
        <v>248</v>
      </c>
      <c r="W21" s="50">
        <v>51</v>
      </c>
      <c r="X21" s="110">
        <v>15</v>
      </c>
      <c r="Y21" s="110" t="s">
        <v>11</v>
      </c>
      <c r="Z21" s="110">
        <v>36</v>
      </c>
    </row>
    <row r="22" spans="1:26" ht="15.75" x14ac:dyDescent="0.25">
      <c r="A22" s="21" t="s">
        <v>14</v>
      </c>
      <c r="B22" s="20" t="s">
        <v>29</v>
      </c>
      <c r="C22" s="50">
        <v>4437</v>
      </c>
      <c r="D22" s="50">
        <v>506</v>
      </c>
      <c r="E22" s="50" t="s">
        <v>11</v>
      </c>
      <c r="F22" s="50">
        <v>3931</v>
      </c>
      <c r="G22" s="50">
        <v>95</v>
      </c>
      <c r="H22" s="50">
        <v>8</v>
      </c>
      <c r="I22" s="50" t="s">
        <v>11</v>
      </c>
      <c r="J22" s="50">
        <v>87</v>
      </c>
      <c r="K22" s="50">
        <v>369</v>
      </c>
      <c r="L22" s="50">
        <v>37</v>
      </c>
      <c r="M22" s="50" t="s">
        <v>11</v>
      </c>
      <c r="N22" s="50">
        <v>332</v>
      </c>
      <c r="O22" s="50">
        <v>95</v>
      </c>
      <c r="P22" s="50">
        <v>8</v>
      </c>
      <c r="Q22" s="50" t="s">
        <v>11</v>
      </c>
      <c r="R22" s="50">
        <v>87</v>
      </c>
      <c r="S22" s="50">
        <v>369</v>
      </c>
      <c r="T22" s="50">
        <v>37</v>
      </c>
      <c r="U22" s="50" t="s">
        <v>11</v>
      </c>
      <c r="V22" s="50">
        <v>332</v>
      </c>
      <c r="W22" s="50">
        <v>95</v>
      </c>
      <c r="X22" s="110">
        <v>8</v>
      </c>
      <c r="Y22" s="110" t="s">
        <v>11</v>
      </c>
      <c r="Z22" s="110">
        <v>87</v>
      </c>
    </row>
    <row r="23" spans="1:26" ht="16.5" customHeight="1" x14ac:dyDescent="0.25">
      <c r="A23" s="21" t="s">
        <v>16</v>
      </c>
      <c r="B23" s="20" t="s">
        <v>30</v>
      </c>
      <c r="C23" s="50">
        <v>411</v>
      </c>
      <c r="D23" s="50">
        <v>87</v>
      </c>
      <c r="E23" s="50">
        <v>25</v>
      </c>
      <c r="F23" s="50">
        <v>299</v>
      </c>
      <c r="G23" s="50">
        <v>106</v>
      </c>
      <c r="H23" s="50">
        <v>16</v>
      </c>
      <c r="I23" s="50">
        <v>5</v>
      </c>
      <c r="J23" s="50">
        <v>85</v>
      </c>
      <c r="K23" s="50">
        <v>411</v>
      </c>
      <c r="L23" s="50">
        <v>87</v>
      </c>
      <c r="M23" s="50">
        <v>25</v>
      </c>
      <c r="N23" s="50">
        <v>299</v>
      </c>
      <c r="O23" s="50">
        <v>106</v>
      </c>
      <c r="P23" s="50">
        <v>16</v>
      </c>
      <c r="Q23" s="50">
        <v>5</v>
      </c>
      <c r="R23" s="50">
        <v>85</v>
      </c>
      <c r="S23" s="50">
        <v>411</v>
      </c>
      <c r="T23" s="50">
        <v>87</v>
      </c>
      <c r="U23" s="50">
        <v>25</v>
      </c>
      <c r="V23" s="50">
        <v>299</v>
      </c>
      <c r="W23" s="50">
        <v>106</v>
      </c>
      <c r="X23" s="110">
        <v>16</v>
      </c>
      <c r="Y23" s="110">
        <v>5</v>
      </c>
      <c r="Z23" s="110">
        <v>85</v>
      </c>
    </row>
    <row r="24" spans="1:26" ht="15" customHeight="1" x14ac:dyDescent="0.25">
      <c r="A24" s="145" t="s">
        <v>24</v>
      </c>
      <c r="B24" s="145"/>
      <c r="C24" s="80">
        <f t="shared" ref="C24:Z24" si="1">SUM(C20:C23)</f>
        <v>5539</v>
      </c>
      <c r="D24" s="80">
        <f t="shared" si="1"/>
        <v>703</v>
      </c>
      <c r="E24" s="80">
        <f t="shared" si="1"/>
        <v>41</v>
      </c>
      <c r="F24" s="80">
        <f t="shared" si="1"/>
        <v>4795</v>
      </c>
      <c r="G24" s="80">
        <f t="shared" si="1"/>
        <v>334</v>
      </c>
      <c r="H24" s="80">
        <f t="shared" si="1"/>
        <v>42</v>
      </c>
      <c r="I24" s="80">
        <f t="shared" si="1"/>
        <v>9</v>
      </c>
      <c r="J24" s="80">
        <f t="shared" si="1"/>
        <v>283</v>
      </c>
      <c r="K24" s="80">
        <f t="shared" si="1"/>
        <v>1471</v>
      </c>
      <c r="L24" s="80">
        <f t="shared" si="1"/>
        <v>234</v>
      </c>
      <c r="M24" s="80">
        <f t="shared" si="1"/>
        <v>41</v>
      </c>
      <c r="N24" s="80">
        <f t="shared" si="1"/>
        <v>1196</v>
      </c>
      <c r="O24" s="80">
        <f t="shared" si="1"/>
        <v>334</v>
      </c>
      <c r="P24" s="80">
        <f t="shared" si="1"/>
        <v>42</v>
      </c>
      <c r="Q24" s="80">
        <f t="shared" si="1"/>
        <v>9</v>
      </c>
      <c r="R24" s="80">
        <f t="shared" si="1"/>
        <v>283</v>
      </c>
      <c r="S24" s="80">
        <f t="shared" si="1"/>
        <v>1756</v>
      </c>
      <c r="T24" s="80">
        <f t="shared" si="1"/>
        <v>341</v>
      </c>
      <c r="U24" s="80">
        <f t="shared" si="1"/>
        <v>55</v>
      </c>
      <c r="V24" s="80">
        <f t="shared" si="1"/>
        <v>1360</v>
      </c>
      <c r="W24" s="80">
        <f t="shared" si="1"/>
        <v>363</v>
      </c>
      <c r="X24" s="80">
        <f t="shared" si="1"/>
        <v>54</v>
      </c>
      <c r="Y24" s="80">
        <f t="shared" si="1"/>
        <v>11</v>
      </c>
      <c r="Z24" s="80">
        <f t="shared" si="1"/>
        <v>298</v>
      </c>
    </row>
    <row r="25" spans="1:26" ht="15" customHeight="1" x14ac:dyDescent="0.25">
      <c r="A25" s="145" t="s">
        <v>25</v>
      </c>
      <c r="B25" s="145"/>
      <c r="C25" s="81">
        <f>C24/4</f>
        <v>1384.75</v>
      </c>
      <c r="D25" s="81">
        <f>D24/4</f>
        <v>175.75</v>
      </c>
      <c r="E25" s="81">
        <f>E24/2</f>
        <v>20.5</v>
      </c>
      <c r="F25" s="81">
        <f>F24/4</f>
        <v>1198.75</v>
      </c>
      <c r="G25" s="81">
        <f>G24/4</f>
        <v>83.5</v>
      </c>
      <c r="H25" s="81">
        <f>H24/4</f>
        <v>10.5</v>
      </c>
      <c r="I25" s="81">
        <f>I24/2</f>
        <v>4.5</v>
      </c>
      <c r="J25" s="81">
        <f>J24/4</f>
        <v>70.75</v>
      </c>
      <c r="K25" s="81">
        <f>K24/4</f>
        <v>367.75</v>
      </c>
      <c r="L25" s="81">
        <f>L24/4</f>
        <v>58.5</v>
      </c>
      <c r="M25" s="81">
        <f>M24/2</f>
        <v>20.5</v>
      </c>
      <c r="N25" s="81">
        <f>N24/4</f>
        <v>299</v>
      </c>
      <c r="O25" s="81">
        <f>O24/4</f>
        <v>83.5</v>
      </c>
      <c r="P25" s="81">
        <f>P24/4</f>
        <v>10.5</v>
      </c>
      <c r="Q25" s="81">
        <f>Q24/2</f>
        <v>4.5</v>
      </c>
      <c r="R25" s="81">
        <f>R24/4</f>
        <v>70.75</v>
      </c>
      <c r="S25" s="81">
        <f>S24/4</f>
        <v>439</v>
      </c>
      <c r="T25" s="81">
        <f>T24/4</f>
        <v>85.25</v>
      </c>
      <c r="U25" s="81">
        <f>U24/2</f>
        <v>27.5</v>
      </c>
      <c r="V25" s="81">
        <f>V24/4</f>
        <v>340</v>
      </c>
      <c r="W25" s="81">
        <f>W24/4</f>
        <v>90.75</v>
      </c>
      <c r="X25" s="81">
        <f>X24/4</f>
        <v>13.5</v>
      </c>
      <c r="Y25" s="81">
        <f>Y24/2</f>
        <v>5.5</v>
      </c>
      <c r="Z25" s="81">
        <f>Z24/4</f>
        <v>74.5</v>
      </c>
    </row>
    <row r="26" spans="1:26" ht="27.75" customHeight="1" x14ac:dyDescent="0.25">
      <c r="A26" s="146" t="s">
        <v>31</v>
      </c>
      <c r="B26" s="147"/>
      <c r="C26" s="76">
        <f t="shared" ref="C26:Z26" si="2">SUM(C17,C24)</f>
        <v>11348</v>
      </c>
      <c r="D26" s="76">
        <f t="shared" si="2"/>
        <v>1937</v>
      </c>
      <c r="E26" s="76">
        <f t="shared" si="2"/>
        <v>701</v>
      </c>
      <c r="F26" s="76">
        <f t="shared" si="2"/>
        <v>8693</v>
      </c>
      <c r="G26" s="76">
        <f t="shared" si="2"/>
        <v>733</v>
      </c>
      <c r="H26" s="76">
        <f t="shared" si="2"/>
        <v>131</v>
      </c>
      <c r="I26" s="76">
        <f t="shared" si="2"/>
        <v>67</v>
      </c>
      <c r="J26" s="76">
        <f t="shared" si="2"/>
        <v>533</v>
      </c>
      <c r="K26" s="76">
        <f t="shared" si="2"/>
        <v>3264</v>
      </c>
      <c r="L26" s="76">
        <f t="shared" si="2"/>
        <v>697</v>
      </c>
      <c r="M26" s="76">
        <f t="shared" si="2"/>
        <v>435</v>
      </c>
      <c r="N26" s="76">
        <f t="shared" si="2"/>
        <v>2115</v>
      </c>
      <c r="O26" s="76">
        <f t="shared" si="2"/>
        <v>719</v>
      </c>
      <c r="P26" s="76">
        <f t="shared" si="2"/>
        <v>117</v>
      </c>
      <c r="Q26" s="76">
        <f t="shared" si="2"/>
        <v>67</v>
      </c>
      <c r="R26" s="76">
        <f t="shared" si="2"/>
        <v>533</v>
      </c>
      <c r="S26" s="76">
        <f t="shared" si="2"/>
        <v>4762</v>
      </c>
      <c r="T26" s="76">
        <f t="shared" si="2"/>
        <v>1301</v>
      </c>
      <c r="U26" s="76">
        <f t="shared" si="2"/>
        <v>578</v>
      </c>
      <c r="V26" s="76">
        <f t="shared" si="2"/>
        <v>2866</v>
      </c>
      <c r="W26" s="76">
        <f t="shared" si="2"/>
        <v>876</v>
      </c>
      <c r="X26" s="76">
        <f t="shared" si="2"/>
        <v>168</v>
      </c>
      <c r="Y26" s="76">
        <f t="shared" si="2"/>
        <v>103</v>
      </c>
      <c r="Z26" s="76">
        <f t="shared" si="2"/>
        <v>603</v>
      </c>
    </row>
    <row r="27" spans="1:26" ht="30" customHeight="1" x14ac:dyDescent="0.25">
      <c r="A27" s="146" t="s">
        <v>32</v>
      </c>
      <c r="B27" s="147"/>
      <c r="C27" s="76">
        <f>C26/11</f>
        <v>1031.6363636363637</v>
      </c>
      <c r="D27" s="76">
        <f>D26/11</f>
        <v>176.09090909090909</v>
      </c>
      <c r="E27" s="76">
        <f>E26/7</f>
        <v>100.14285714285714</v>
      </c>
      <c r="F27" s="76">
        <f>F26/8</f>
        <v>1086.625</v>
      </c>
      <c r="G27" s="76">
        <f>G26/11</f>
        <v>66.63636363636364</v>
      </c>
      <c r="H27" s="76">
        <f>H26/11</f>
        <v>11.909090909090908</v>
      </c>
      <c r="I27" s="76">
        <f>I26/7</f>
        <v>9.5714285714285712</v>
      </c>
      <c r="J27" s="76">
        <f>J26/8</f>
        <v>66.625</v>
      </c>
      <c r="K27" s="76">
        <f>K26/11</f>
        <v>296.72727272727275</v>
      </c>
      <c r="L27" s="76">
        <f>L26/11</f>
        <v>63.363636363636367</v>
      </c>
      <c r="M27" s="76">
        <f>M26/7</f>
        <v>62.142857142857146</v>
      </c>
      <c r="N27" s="76">
        <f>N26/8</f>
        <v>264.375</v>
      </c>
      <c r="O27" s="76">
        <f>O26/11</f>
        <v>65.36363636363636</v>
      </c>
      <c r="P27" s="76">
        <f>P26/11</f>
        <v>10.636363636363637</v>
      </c>
      <c r="Q27" s="76">
        <f>Q26/7</f>
        <v>9.5714285714285712</v>
      </c>
      <c r="R27" s="76">
        <f>R26/8</f>
        <v>66.625</v>
      </c>
      <c r="S27" s="76">
        <f>S26/11</f>
        <v>432.90909090909093</v>
      </c>
      <c r="T27" s="76">
        <f>T26/11</f>
        <v>118.27272727272727</v>
      </c>
      <c r="U27" s="76">
        <f>U26/7</f>
        <v>82.571428571428569</v>
      </c>
      <c r="V27" s="76">
        <f>V26/8</f>
        <v>358.25</v>
      </c>
      <c r="W27" s="76">
        <f>W26/11</f>
        <v>79.63636363636364</v>
      </c>
      <c r="X27" s="76">
        <f>X26/11</f>
        <v>15.272727272727273</v>
      </c>
      <c r="Y27" s="76">
        <f>Y26/7</f>
        <v>14.714285714285714</v>
      </c>
      <c r="Z27" s="76">
        <f>Z26/8</f>
        <v>75.375</v>
      </c>
    </row>
  </sheetData>
  <mergeCells count="22">
    <mergeCell ref="S6:V7"/>
    <mergeCell ref="C6:F7"/>
    <mergeCell ref="G6:J6"/>
    <mergeCell ref="G7:J7"/>
    <mergeCell ref="O6:R6"/>
    <mergeCell ref="O7:R7"/>
    <mergeCell ref="A2:Z2"/>
    <mergeCell ref="A3:Z3"/>
    <mergeCell ref="A5:A8"/>
    <mergeCell ref="B5:B8"/>
    <mergeCell ref="A27:B27"/>
    <mergeCell ref="A17:B17"/>
    <mergeCell ref="A18:B18"/>
    <mergeCell ref="A24:B24"/>
    <mergeCell ref="A25:B25"/>
    <mergeCell ref="A26:B26"/>
    <mergeCell ref="A9:Z9"/>
    <mergeCell ref="A19:Z19"/>
    <mergeCell ref="C5:Z5"/>
    <mergeCell ref="W6:Z6"/>
    <mergeCell ref="W7:Z7"/>
    <mergeCell ref="K6:N7"/>
  </mergeCells>
  <pageMargins left="0.70000000000000007" right="0.70000000000000007" top="0.75" bottom="0.75" header="0.30000000000000004" footer="0.30000000000000004"/>
  <pageSetup orientation="portrait" r:id="rId1"/>
  <ignoredErrors>
    <ignoredError sqref="E25 J26 M25 Q25 U25 Y25 I25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31"/>
  <sheetViews>
    <sheetView tabSelected="1" topLeftCell="A25" workbookViewId="0">
      <selection activeCell="V20" sqref="V20"/>
    </sheetView>
  </sheetViews>
  <sheetFormatPr defaultRowHeight="15" x14ac:dyDescent="0.25"/>
  <cols>
    <col min="1" max="1" width="5.140625" customWidth="1"/>
    <col min="2" max="2" width="28.140625" customWidth="1"/>
    <col min="3" max="3" width="8.28515625" customWidth="1"/>
    <col min="4" max="5" width="8.5703125" customWidth="1"/>
    <col min="6" max="6" width="8.7109375" customWidth="1"/>
    <col min="11" max="11" width="11.140625" customWidth="1"/>
    <col min="12" max="12" width="13.140625" customWidth="1"/>
    <col min="13" max="13" width="9.85546875" customWidth="1"/>
    <col min="14" max="14" width="10.28515625" customWidth="1"/>
    <col min="15" max="15" width="10.140625" customWidth="1"/>
    <col min="18" max="18" width="9.5703125" customWidth="1"/>
  </cols>
  <sheetData>
    <row r="2" spans="1:18" ht="15.75" x14ac:dyDescent="0.25">
      <c r="A2" s="164" t="s">
        <v>97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</row>
    <row r="3" spans="1:18" ht="15.7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 ht="18.75" customHeight="1" x14ac:dyDescent="0.25">
      <c r="A4" s="171" t="s">
        <v>0</v>
      </c>
      <c r="B4" s="171" t="s">
        <v>1</v>
      </c>
      <c r="C4" s="196" t="s">
        <v>65</v>
      </c>
      <c r="D4" s="203"/>
      <c r="E4" s="203"/>
      <c r="F4" s="203"/>
      <c r="G4" s="203"/>
      <c r="H4" s="203"/>
      <c r="I4" s="203"/>
      <c r="J4" s="203"/>
      <c r="K4" s="196" t="s">
        <v>66</v>
      </c>
      <c r="L4" s="203"/>
      <c r="M4" s="203"/>
      <c r="N4" s="203"/>
      <c r="O4" s="203"/>
      <c r="P4" s="184" t="s">
        <v>98</v>
      </c>
      <c r="Q4" s="185"/>
      <c r="R4" s="186"/>
    </row>
    <row r="5" spans="1:18" ht="15.75" x14ac:dyDescent="0.25">
      <c r="A5" s="172"/>
      <c r="B5" s="172"/>
      <c r="C5" s="196" t="s">
        <v>2</v>
      </c>
      <c r="D5" s="196"/>
      <c r="E5" s="196" t="s">
        <v>3</v>
      </c>
      <c r="F5" s="196"/>
      <c r="G5" s="196" t="s">
        <v>51</v>
      </c>
      <c r="H5" s="196"/>
      <c r="I5" s="196" t="s">
        <v>52</v>
      </c>
      <c r="J5" s="196"/>
      <c r="K5" s="195" t="s">
        <v>67</v>
      </c>
      <c r="L5" s="195" t="s">
        <v>68</v>
      </c>
      <c r="M5" s="195" t="s">
        <v>69</v>
      </c>
      <c r="N5" s="195" t="s">
        <v>70</v>
      </c>
      <c r="O5" s="195" t="s">
        <v>72</v>
      </c>
      <c r="P5" s="187"/>
      <c r="Q5" s="188"/>
      <c r="R5" s="189"/>
    </row>
    <row r="6" spans="1:18" ht="15.75" customHeight="1" x14ac:dyDescent="0.25">
      <c r="A6" s="172"/>
      <c r="B6" s="172"/>
      <c r="C6" s="196" t="s">
        <v>6</v>
      </c>
      <c r="D6" s="196" t="s">
        <v>53</v>
      </c>
      <c r="E6" s="196" t="s">
        <v>6</v>
      </c>
      <c r="F6" s="196" t="s">
        <v>53</v>
      </c>
      <c r="G6" s="196" t="s">
        <v>6</v>
      </c>
      <c r="H6" s="196" t="s">
        <v>53</v>
      </c>
      <c r="I6" s="196" t="s">
        <v>6</v>
      </c>
      <c r="J6" s="196" t="s">
        <v>53</v>
      </c>
      <c r="K6" s="195"/>
      <c r="L6" s="195"/>
      <c r="M6" s="195"/>
      <c r="N6" s="195"/>
      <c r="O6" s="195"/>
      <c r="P6" s="171" t="s">
        <v>73</v>
      </c>
      <c r="Q6" s="171" t="s">
        <v>74</v>
      </c>
      <c r="R6" s="196" t="s">
        <v>71</v>
      </c>
    </row>
    <row r="7" spans="1:18" ht="15.75" customHeight="1" x14ac:dyDescent="0.25">
      <c r="A7" s="173"/>
      <c r="B7" s="173"/>
      <c r="C7" s="196"/>
      <c r="D7" s="196"/>
      <c r="E7" s="196"/>
      <c r="F7" s="196"/>
      <c r="G7" s="196"/>
      <c r="H7" s="196"/>
      <c r="I7" s="196"/>
      <c r="J7" s="196"/>
      <c r="K7" s="195"/>
      <c r="L7" s="195"/>
      <c r="M7" s="195"/>
      <c r="N7" s="195"/>
      <c r="O7" s="195"/>
      <c r="P7" s="173"/>
      <c r="Q7" s="173"/>
      <c r="R7" s="196"/>
    </row>
    <row r="8" spans="1:18" ht="15.75" customHeight="1" x14ac:dyDescent="0.25">
      <c r="A8" s="197" t="s">
        <v>75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9"/>
    </row>
    <row r="9" spans="1:18" ht="15.75" x14ac:dyDescent="0.25">
      <c r="A9" s="38" t="s">
        <v>9</v>
      </c>
      <c r="B9" s="30" t="s">
        <v>10</v>
      </c>
      <c r="C9" s="50">
        <v>21623</v>
      </c>
      <c r="D9" s="50">
        <v>9586</v>
      </c>
      <c r="E9" s="50">
        <v>4514</v>
      </c>
      <c r="F9" s="50">
        <v>2333</v>
      </c>
      <c r="G9" s="50">
        <f>16498+611</f>
        <v>17109</v>
      </c>
      <c r="H9" s="50">
        <f>6885+368</f>
        <v>7253</v>
      </c>
      <c r="I9" s="50" t="s">
        <v>11</v>
      </c>
      <c r="J9" s="50" t="s">
        <v>11</v>
      </c>
      <c r="K9" s="50">
        <v>11150</v>
      </c>
      <c r="L9" s="50">
        <v>546</v>
      </c>
      <c r="M9" s="50">
        <v>419</v>
      </c>
      <c r="N9" s="50">
        <v>0</v>
      </c>
      <c r="O9" s="50">
        <f>1179</f>
        <v>1179</v>
      </c>
      <c r="P9" s="13">
        <v>18245</v>
      </c>
      <c r="Q9" s="50">
        <v>21623</v>
      </c>
      <c r="R9" s="50">
        <f t="shared" ref="R9:R17" si="0">P9-Q9</f>
        <v>-3378</v>
      </c>
    </row>
    <row r="10" spans="1:18" ht="15.75" x14ac:dyDescent="0.25">
      <c r="A10" s="38" t="s">
        <v>12</v>
      </c>
      <c r="B10" s="30" t="s">
        <v>13</v>
      </c>
      <c r="C10" s="50">
        <v>23736</v>
      </c>
      <c r="D10" s="50">
        <v>13537</v>
      </c>
      <c r="E10" s="50">
        <v>3612</v>
      </c>
      <c r="F10" s="50">
        <v>372</v>
      </c>
      <c r="G10" s="50">
        <v>1155</v>
      </c>
      <c r="H10" s="50">
        <v>615</v>
      </c>
      <c r="I10" s="50">
        <v>18969</v>
      </c>
      <c r="J10" s="50">
        <v>12550</v>
      </c>
      <c r="K10" s="50">
        <v>15911</v>
      </c>
      <c r="L10" s="50">
        <v>6927</v>
      </c>
      <c r="M10" s="50">
        <v>69</v>
      </c>
      <c r="N10" s="50">
        <v>0</v>
      </c>
      <c r="O10" s="50">
        <v>829</v>
      </c>
      <c r="P10" s="15">
        <v>20197</v>
      </c>
      <c r="Q10" s="50">
        <v>23736</v>
      </c>
      <c r="R10" s="50">
        <f t="shared" si="0"/>
        <v>-3539</v>
      </c>
    </row>
    <row r="11" spans="1:18" ht="15.75" x14ac:dyDescent="0.25">
      <c r="A11" s="38" t="s">
        <v>14</v>
      </c>
      <c r="B11" s="30" t="s">
        <v>15</v>
      </c>
      <c r="C11" s="50">
        <v>4758</v>
      </c>
      <c r="D11" s="50">
        <v>3946</v>
      </c>
      <c r="E11" s="50">
        <v>598</v>
      </c>
      <c r="F11" s="50">
        <v>298</v>
      </c>
      <c r="G11" s="50">
        <v>402</v>
      </c>
      <c r="H11" s="50">
        <v>306</v>
      </c>
      <c r="I11" s="50">
        <v>3758</v>
      </c>
      <c r="J11" s="50">
        <v>3342</v>
      </c>
      <c r="K11" s="50">
        <v>4626</v>
      </c>
      <c r="L11" s="50">
        <v>0</v>
      </c>
      <c r="M11" s="50">
        <v>132</v>
      </c>
      <c r="N11" s="50">
        <v>0</v>
      </c>
      <c r="O11" s="50">
        <v>0</v>
      </c>
      <c r="P11" s="15">
        <v>9150</v>
      </c>
      <c r="Q11" s="50">
        <v>4758</v>
      </c>
      <c r="R11" s="50">
        <f t="shared" si="0"/>
        <v>4392</v>
      </c>
    </row>
    <row r="12" spans="1:18" ht="15.75" x14ac:dyDescent="0.25">
      <c r="A12" s="38" t="s">
        <v>16</v>
      </c>
      <c r="B12" s="30" t="s">
        <v>17</v>
      </c>
      <c r="C12" s="50">
        <v>4861</v>
      </c>
      <c r="D12" s="50">
        <v>2540</v>
      </c>
      <c r="E12" s="50">
        <v>1385</v>
      </c>
      <c r="F12" s="50">
        <v>615</v>
      </c>
      <c r="G12" s="50">
        <v>3476</v>
      </c>
      <c r="H12" s="50">
        <v>1925</v>
      </c>
      <c r="I12" s="50" t="s">
        <v>11</v>
      </c>
      <c r="J12" s="50" t="s">
        <v>11</v>
      </c>
      <c r="K12" s="50">
        <v>4861</v>
      </c>
      <c r="L12" s="50">
        <v>0</v>
      </c>
      <c r="M12" s="50">
        <v>0</v>
      </c>
      <c r="N12" s="50">
        <v>0</v>
      </c>
      <c r="O12" s="50">
        <v>0</v>
      </c>
      <c r="P12" s="15">
        <v>4185</v>
      </c>
      <c r="Q12" s="50">
        <v>4861</v>
      </c>
      <c r="R12" s="50">
        <f t="shared" si="0"/>
        <v>-676</v>
      </c>
    </row>
    <row r="13" spans="1:18" ht="15.75" x14ac:dyDescent="0.25">
      <c r="A13" s="38" t="s">
        <v>18</v>
      </c>
      <c r="B13" s="30" t="s">
        <v>19</v>
      </c>
      <c r="C13" s="50">
        <v>6426</v>
      </c>
      <c r="D13" s="50">
        <v>2188</v>
      </c>
      <c r="E13" s="50">
        <v>6426</v>
      </c>
      <c r="F13" s="50">
        <v>2188</v>
      </c>
      <c r="G13" s="50" t="s">
        <v>11</v>
      </c>
      <c r="H13" s="50" t="s">
        <v>11</v>
      </c>
      <c r="I13" s="50" t="s">
        <v>11</v>
      </c>
      <c r="J13" s="50" t="s">
        <v>11</v>
      </c>
      <c r="K13" s="50">
        <v>6407</v>
      </c>
      <c r="L13" s="50">
        <v>0</v>
      </c>
      <c r="M13" s="50">
        <v>19</v>
      </c>
      <c r="N13" s="50">
        <v>0</v>
      </c>
      <c r="O13" s="50">
        <v>0</v>
      </c>
      <c r="P13" s="15">
        <v>3453</v>
      </c>
      <c r="Q13" s="50">
        <v>6426</v>
      </c>
      <c r="R13" s="50">
        <f t="shared" si="0"/>
        <v>-2973</v>
      </c>
    </row>
    <row r="14" spans="1:18" ht="15.75" x14ac:dyDescent="0.25">
      <c r="A14" s="38" t="s">
        <v>20</v>
      </c>
      <c r="B14" s="30" t="s">
        <v>21</v>
      </c>
      <c r="C14" s="50">
        <v>17840</v>
      </c>
      <c r="D14" s="50">
        <v>9819</v>
      </c>
      <c r="E14" s="50">
        <v>5089</v>
      </c>
      <c r="F14" s="50">
        <v>1577</v>
      </c>
      <c r="G14" s="50">
        <v>196</v>
      </c>
      <c r="H14" s="50">
        <v>164</v>
      </c>
      <c r="I14" s="50">
        <v>12555</v>
      </c>
      <c r="J14" s="50">
        <v>8078</v>
      </c>
      <c r="K14" s="50">
        <v>17805</v>
      </c>
      <c r="L14" s="50">
        <v>0</v>
      </c>
      <c r="M14" s="50">
        <v>35</v>
      </c>
      <c r="N14" s="50">
        <v>0</v>
      </c>
      <c r="O14" s="50">
        <v>0</v>
      </c>
      <c r="P14" s="15">
        <v>5279</v>
      </c>
      <c r="Q14" s="50">
        <v>17840</v>
      </c>
      <c r="R14" s="50">
        <f t="shared" si="0"/>
        <v>-12561</v>
      </c>
    </row>
    <row r="15" spans="1:18" ht="15.75" x14ac:dyDescent="0.25">
      <c r="A15" s="38" t="s">
        <v>22</v>
      </c>
      <c r="B15" s="30" t="s">
        <v>23</v>
      </c>
      <c r="C15" s="50">
        <v>16231</v>
      </c>
      <c r="D15" s="50">
        <v>820</v>
      </c>
      <c r="E15" s="50">
        <v>7623</v>
      </c>
      <c r="F15" s="50">
        <v>2224</v>
      </c>
      <c r="G15" s="50" t="s">
        <v>11</v>
      </c>
      <c r="H15" s="50" t="s">
        <v>11</v>
      </c>
      <c r="I15" s="50">
        <v>8608</v>
      </c>
      <c r="J15" s="50">
        <v>529</v>
      </c>
      <c r="K15" s="50">
        <v>11016</v>
      </c>
      <c r="L15" s="50">
        <v>5034</v>
      </c>
      <c r="M15" s="50">
        <v>177</v>
      </c>
      <c r="N15" s="50">
        <v>0</v>
      </c>
      <c r="O15" s="50">
        <v>4</v>
      </c>
      <c r="P15" s="15">
        <v>13648</v>
      </c>
      <c r="Q15" s="50">
        <v>16231</v>
      </c>
      <c r="R15" s="50">
        <f t="shared" si="0"/>
        <v>-2583</v>
      </c>
    </row>
    <row r="16" spans="1:18" ht="15.75" x14ac:dyDescent="0.25">
      <c r="A16" s="193" t="s">
        <v>24</v>
      </c>
      <c r="B16" s="194"/>
      <c r="C16" s="80">
        <f>SUM(C9:C15)</f>
        <v>95475</v>
      </c>
      <c r="D16" s="80">
        <f>SUM(D9:D15)</f>
        <v>42436</v>
      </c>
      <c r="E16" s="80">
        <f>SUM(E9:E15)</f>
        <v>29247</v>
      </c>
      <c r="F16" s="80">
        <f>SUM(F9:F15)</f>
        <v>9607</v>
      </c>
      <c r="G16" s="80">
        <f>SUM(G9:G14)</f>
        <v>22338</v>
      </c>
      <c r="H16" s="80">
        <f>SUM(H9:H14)</f>
        <v>10263</v>
      </c>
      <c r="I16" s="80">
        <f>SUM(I10:I15)</f>
        <v>43890</v>
      </c>
      <c r="J16" s="80">
        <f>SUM(J10:J15)</f>
        <v>24499</v>
      </c>
      <c r="K16" s="80">
        <f t="shared" ref="K16:Q16" si="1">SUM(K9:K15)</f>
        <v>71776</v>
      </c>
      <c r="L16" s="80">
        <f t="shared" si="1"/>
        <v>12507</v>
      </c>
      <c r="M16" s="80">
        <f t="shared" si="1"/>
        <v>851</v>
      </c>
      <c r="N16" s="80">
        <f t="shared" si="1"/>
        <v>0</v>
      </c>
      <c r="O16" s="80">
        <f t="shared" si="1"/>
        <v>2012</v>
      </c>
      <c r="P16" s="23">
        <f t="shared" si="1"/>
        <v>74157</v>
      </c>
      <c r="Q16" s="80">
        <f t="shared" si="1"/>
        <v>95475</v>
      </c>
      <c r="R16" s="80">
        <f t="shared" si="0"/>
        <v>-21318</v>
      </c>
    </row>
    <row r="17" spans="1:18" ht="15" customHeight="1" x14ac:dyDescent="0.25">
      <c r="A17" s="193" t="s">
        <v>25</v>
      </c>
      <c r="B17" s="194"/>
      <c r="C17" s="81">
        <f>C16/7</f>
        <v>13639.285714285714</v>
      </c>
      <c r="D17" s="81">
        <f>D16/7</f>
        <v>6062.2857142857147</v>
      </c>
      <c r="E17" s="81">
        <f>E16/7</f>
        <v>4178.1428571428569</v>
      </c>
      <c r="F17" s="81">
        <f>F16/7</f>
        <v>1372.4285714285713</v>
      </c>
      <c r="G17" s="81">
        <f>G16/5</f>
        <v>4467.6000000000004</v>
      </c>
      <c r="H17" s="81">
        <f>H16/5</f>
        <v>2052.6</v>
      </c>
      <c r="I17" s="81">
        <f>I16/4</f>
        <v>10972.5</v>
      </c>
      <c r="J17" s="81">
        <f>J16/4</f>
        <v>6124.75</v>
      </c>
      <c r="K17" s="81">
        <f t="shared" ref="K17:Q17" si="2">K16/7</f>
        <v>10253.714285714286</v>
      </c>
      <c r="L17" s="81">
        <f t="shared" si="2"/>
        <v>1786.7142857142858</v>
      </c>
      <c r="M17" s="81">
        <f t="shared" si="2"/>
        <v>121.57142857142857</v>
      </c>
      <c r="N17" s="81">
        <f t="shared" si="2"/>
        <v>0</v>
      </c>
      <c r="O17" s="81">
        <f t="shared" si="2"/>
        <v>287.42857142857144</v>
      </c>
      <c r="P17" s="25">
        <f t="shared" si="2"/>
        <v>10593.857142857143</v>
      </c>
      <c r="Q17" s="81">
        <f t="shared" si="2"/>
        <v>13639.285714285714</v>
      </c>
      <c r="R17" s="81">
        <f t="shared" si="0"/>
        <v>-3045.4285714285706</v>
      </c>
    </row>
    <row r="18" spans="1:18" ht="16.5" customHeight="1" x14ac:dyDescent="0.25">
      <c r="A18" s="200" t="s">
        <v>26</v>
      </c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2"/>
    </row>
    <row r="19" spans="1:18" ht="15.75" customHeight="1" x14ac:dyDescent="0.25">
      <c r="A19" s="114" t="s">
        <v>9</v>
      </c>
      <c r="B19" s="115" t="s">
        <v>27</v>
      </c>
      <c r="C19" s="50">
        <v>18775</v>
      </c>
      <c r="D19" s="50">
        <v>10562</v>
      </c>
      <c r="E19" s="50">
        <v>3067</v>
      </c>
      <c r="F19" s="50">
        <v>1037</v>
      </c>
      <c r="G19" s="50">
        <v>3605</v>
      </c>
      <c r="H19" s="50">
        <v>2926</v>
      </c>
      <c r="I19" s="50">
        <v>12103</v>
      </c>
      <c r="J19" s="50">
        <v>6599</v>
      </c>
      <c r="K19" s="50">
        <v>12374</v>
      </c>
      <c r="L19" s="50">
        <v>6387</v>
      </c>
      <c r="M19" s="50">
        <v>0</v>
      </c>
      <c r="N19" s="50">
        <v>0</v>
      </c>
      <c r="O19" s="50">
        <v>14</v>
      </c>
      <c r="P19" s="15">
        <v>17098</v>
      </c>
      <c r="Q19" s="50">
        <v>18775</v>
      </c>
      <c r="R19" s="50">
        <f t="shared" ref="R19:R26" si="3">P19-Q19</f>
        <v>-1677</v>
      </c>
    </row>
    <row r="20" spans="1:18" ht="15" customHeight="1" x14ac:dyDescent="0.25">
      <c r="A20" s="21" t="s">
        <v>12</v>
      </c>
      <c r="B20" s="20" t="s">
        <v>28</v>
      </c>
      <c r="C20" s="50">
        <v>4165</v>
      </c>
      <c r="D20" s="50">
        <v>800</v>
      </c>
      <c r="E20" s="50">
        <v>524</v>
      </c>
      <c r="F20" s="50">
        <v>0</v>
      </c>
      <c r="G20" s="50" t="s">
        <v>11</v>
      </c>
      <c r="H20" s="50" t="s">
        <v>11</v>
      </c>
      <c r="I20" s="50">
        <v>3641</v>
      </c>
      <c r="J20" s="50">
        <v>800</v>
      </c>
      <c r="K20" s="50">
        <v>1000</v>
      </c>
      <c r="L20" s="50">
        <v>3165</v>
      </c>
      <c r="M20" s="50">
        <v>0</v>
      </c>
      <c r="N20" s="50">
        <v>0</v>
      </c>
      <c r="O20" s="50">
        <v>0</v>
      </c>
      <c r="P20" s="15">
        <v>6553</v>
      </c>
      <c r="Q20" s="50">
        <v>4165</v>
      </c>
      <c r="R20" s="50">
        <f t="shared" si="3"/>
        <v>2388</v>
      </c>
    </row>
    <row r="21" spans="1:18" ht="15.75" x14ac:dyDescent="0.25">
      <c r="A21" s="21" t="s">
        <v>14</v>
      </c>
      <c r="B21" s="20" t="s">
        <v>29</v>
      </c>
      <c r="C21" s="50">
        <v>7838</v>
      </c>
      <c r="D21" s="50">
        <v>3154</v>
      </c>
      <c r="E21" s="50">
        <v>784</v>
      </c>
      <c r="F21" s="50">
        <v>128</v>
      </c>
      <c r="G21" s="50" t="s">
        <v>11</v>
      </c>
      <c r="H21" s="50" t="s">
        <v>11</v>
      </c>
      <c r="I21" s="50">
        <v>7054</v>
      </c>
      <c r="J21" s="50">
        <v>3026</v>
      </c>
      <c r="K21" s="50">
        <v>2278</v>
      </c>
      <c r="L21" s="50">
        <v>5524</v>
      </c>
      <c r="M21" s="50">
        <v>10</v>
      </c>
      <c r="N21" s="50">
        <v>0</v>
      </c>
      <c r="O21" s="50">
        <v>26</v>
      </c>
      <c r="P21" s="15">
        <v>10023</v>
      </c>
      <c r="Q21" s="50">
        <v>7838</v>
      </c>
      <c r="R21" s="50">
        <f t="shared" si="3"/>
        <v>2185</v>
      </c>
    </row>
    <row r="22" spans="1:18" ht="15.75" customHeight="1" x14ac:dyDescent="0.25">
      <c r="A22" s="21" t="s">
        <v>16</v>
      </c>
      <c r="B22" s="20" t="s">
        <v>30</v>
      </c>
      <c r="C22" s="50">
        <v>11123</v>
      </c>
      <c r="D22" s="50">
        <v>6975</v>
      </c>
      <c r="E22" s="50">
        <v>2625</v>
      </c>
      <c r="F22" s="50">
        <v>1609</v>
      </c>
      <c r="G22" s="50">
        <v>1248</v>
      </c>
      <c r="H22" s="50">
        <v>543</v>
      </c>
      <c r="I22" s="50">
        <v>7250</v>
      </c>
      <c r="J22" s="50">
        <v>4823</v>
      </c>
      <c r="K22" s="50">
        <v>7215</v>
      </c>
      <c r="L22" s="50">
        <v>3854</v>
      </c>
      <c r="M22" s="50">
        <v>54</v>
      </c>
      <c r="N22" s="50">
        <v>0</v>
      </c>
      <c r="O22" s="50">
        <v>0</v>
      </c>
      <c r="P22" s="26">
        <v>13442</v>
      </c>
      <c r="Q22" s="50">
        <v>11123</v>
      </c>
      <c r="R22" s="113">
        <f t="shared" si="3"/>
        <v>2319</v>
      </c>
    </row>
    <row r="23" spans="1:18" ht="15" customHeight="1" x14ac:dyDescent="0.25">
      <c r="A23" s="154" t="s">
        <v>24</v>
      </c>
      <c r="B23" s="154"/>
      <c r="C23" s="80">
        <f t="shared" ref="C23:J23" si="4">SUM(C19:C22)</f>
        <v>41901</v>
      </c>
      <c r="D23" s="80">
        <f t="shared" si="4"/>
        <v>21491</v>
      </c>
      <c r="E23" s="80">
        <f t="shared" si="4"/>
        <v>7000</v>
      </c>
      <c r="F23" s="80">
        <f t="shared" si="4"/>
        <v>2774</v>
      </c>
      <c r="G23" s="80">
        <f t="shared" si="4"/>
        <v>4853</v>
      </c>
      <c r="H23" s="80">
        <f t="shared" si="4"/>
        <v>3469</v>
      </c>
      <c r="I23" s="80">
        <f t="shared" si="4"/>
        <v>30048</v>
      </c>
      <c r="J23" s="80">
        <f t="shared" si="4"/>
        <v>15248</v>
      </c>
      <c r="K23" s="80">
        <f t="shared" ref="K23:Q23" si="5">SUM(K19:K22)</f>
        <v>22867</v>
      </c>
      <c r="L23" s="80">
        <f t="shared" si="5"/>
        <v>18930</v>
      </c>
      <c r="M23" s="80">
        <f t="shared" si="5"/>
        <v>64</v>
      </c>
      <c r="N23" s="80">
        <f t="shared" si="5"/>
        <v>0</v>
      </c>
      <c r="O23" s="80">
        <f t="shared" si="5"/>
        <v>40</v>
      </c>
      <c r="P23" s="23">
        <f t="shared" si="5"/>
        <v>47116</v>
      </c>
      <c r="Q23" s="80">
        <f t="shared" si="5"/>
        <v>41901</v>
      </c>
      <c r="R23" s="80">
        <f t="shared" si="3"/>
        <v>5215</v>
      </c>
    </row>
    <row r="24" spans="1:18" ht="15" customHeight="1" x14ac:dyDescent="0.25">
      <c r="A24" s="145" t="s">
        <v>25</v>
      </c>
      <c r="B24" s="145"/>
      <c r="C24" s="81">
        <f>C23/4</f>
        <v>10475.25</v>
      </c>
      <c r="D24" s="81">
        <f>D23/4</f>
        <v>5372.75</v>
      </c>
      <c r="E24" s="81">
        <f>E23/4</f>
        <v>1750</v>
      </c>
      <c r="F24" s="81">
        <f>F23/4</f>
        <v>693.5</v>
      </c>
      <c r="G24" s="81">
        <f>G23/2</f>
        <v>2426.5</v>
      </c>
      <c r="H24" s="81">
        <f>H23/2</f>
        <v>1734.5</v>
      </c>
      <c r="I24" s="81">
        <f t="shared" ref="I24:Q24" si="6">I23/4</f>
        <v>7512</v>
      </c>
      <c r="J24" s="81">
        <f t="shared" si="6"/>
        <v>3812</v>
      </c>
      <c r="K24" s="81">
        <f t="shared" si="6"/>
        <v>5716.75</v>
      </c>
      <c r="L24" s="81">
        <f t="shared" si="6"/>
        <v>4732.5</v>
      </c>
      <c r="M24" s="81">
        <f t="shared" si="6"/>
        <v>16</v>
      </c>
      <c r="N24" s="81">
        <f t="shared" si="6"/>
        <v>0</v>
      </c>
      <c r="O24" s="81">
        <f t="shared" si="6"/>
        <v>10</v>
      </c>
      <c r="P24" s="25">
        <f t="shared" si="6"/>
        <v>11779</v>
      </c>
      <c r="Q24" s="81">
        <f t="shared" si="6"/>
        <v>10475.25</v>
      </c>
      <c r="R24" s="81">
        <f t="shared" si="3"/>
        <v>1303.75</v>
      </c>
    </row>
    <row r="25" spans="1:18" ht="30" customHeight="1" x14ac:dyDescent="0.25">
      <c r="A25" s="146" t="s">
        <v>31</v>
      </c>
      <c r="B25" s="147"/>
      <c r="C25" s="82">
        <f t="shared" ref="C25:J25" si="7">SUM(C16,C23)</f>
        <v>137376</v>
      </c>
      <c r="D25" s="82">
        <f t="shared" si="7"/>
        <v>63927</v>
      </c>
      <c r="E25" s="82">
        <f t="shared" si="7"/>
        <v>36247</v>
      </c>
      <c r="F25" s="82">
        <f t="shared" si="7"/>
        <v>12381</v>
      </c>
      <c r="G25" s="82">
        <f t="shared" si="7"/>
        <v>27191</v>
      </c>
      <c r="H25" s="82">
        <f t="shared" si="7"/>
        <v>13732</v>
      </c>
      <c r="I25" s="82">
        <f t="shared" si="7"/>
        <v>73938</v>
      </c>
      <c r="J25" s="82">
        <f t="shared" si="7"/>
        <v>39747</v>
      </c>
      <c r="K25" s="82">
        <f>SUM(K16,K23)</f>
        <v>94643</v>
      </c>
      <c r="L25" s="82">
        <f t="shared" ref="L25:Q25" si="8">SUM(L16,L23)</f>
        <v>31437</v>
      </c>
      <c r="M25" s="82">
        <f t="shared" si="8"/>
        <v>915</v>
      </c>
      <c r="N25" s="82">
        <f t="shared" si="8"/>
        <v>0</v>
      </c>
      <c r="O25" s="82">
        <f t="shared" si="8"/>
        <v>2052</v>
      </c>
      <c r="P25" s="111">
        <f t="shared" si="8"/>
        <v>121273</v>
      </c>
      <c r="Q25" s="82">
        <f t="shared" si="8"/>
        <v>137376</v>
      </c>
      <c r="R25" s="82">
        <f t="shared" si="3"/>
        <v>-16103</v>
      </c>
    </row>
    <row r="26" spans="1:18" ht="33" customHeight="1" x14ac:dyDescent="0.25">
      <c r="A26" s="146" t="s">
        <v>32</v>
      </c>
      <c r="B26" s="147"/>
      <c r="C26" s="76">
        <f>C25/11</f>
        <v>12488.727272727272</v>
      </c>
      <c r="D26" s="76">
        <f>D25/11</f>
        <v>5811.545454545455</v>
      </c>
      <c r="E26" s="76">
        <f>E25/11</f>
        <v>3295.181818181818</v>
      </c>
      <c r="F26" s="76">
        <f>F25/11</f>
        <v>1125.5454545454545</v>
      </c>
      <c r="G26" s="76">
        <f>G25/7</f>
        <v>3884.4285714285716</v>
      </c>
      <c r="H26" s="76">
        <f>H25/7</f>
        <v>1961.7142857142858</v>
      </c>
      <c r="I26" s="76">
        <f>I25/8</f>
        <v>9242.25</v>
      </c>
      <c r="J26" s="76">
        <f>J25/8</f>
        <v>4968.375</v>
      </c>
      <c r="K26" s="76">
        <f t="shared" ref="K26:Q26" si="9">K25/11</f>
        <v>8603.9090909090901</v>
      </c>
      <c r="L26" s="76">
        <f t="shared" si="9"/>
        <v>2857.909090909091</v>
      </c>
      <c r="M26" s="76">
        <f t="shared" si="9"/>
        <v>83.181818181818187</v>
      </c>
      <c r="N26" s="76">
        <f t="shared" si="9"/>
        <v>0</v>
      </c>
      <c r="O26" s="76">
        <f t="shared" si="9"/>
        <v>186.54545454545453</v>
      </c>
      <c r="P26" s="112">
        <f t="shared" si="9"/>
        <v>11024.818181818182</v>
      </c>
      <c r="Q26" s="76">
        <f t="shared" si="9"/>
        <v>12488.727272727272</v>
      </c>
      <c r="R26" s="76">
        <f t="shared" si="3"/>
        <v>-1463.9090909090901</v>
      </c>
    </row>
    <row r="31" spans="1:18" x14ac:dyDescent="0.25">
      <c r="J31" s="43"/>
    </row>
  </sheetData>
  <mergeCells count="34">
    <mergeCell ref="A2:R2"/>
    <mergeCell ref="A25:B25"/>
    <mergeCell ref="A8:R8"/>
    <mergeCell ref="A18:R18"/>
    <mergeCell ref="C5:D5"/>
    <mergeCell ref="E5:F5"/>
    <mergeCell ref="G5:H5"/>
    <mergeCell ref="I5:J5"/>
    <mergeCell ref="G6:G7"/>
    <mergeCell ref="A4:A7"/>
    <mergeCell ref="B4:B7"/>
    <mergeCell ref="C4:J4"/>
    <mergeCell ref="K4:O4"/>
    <mergeCell ref="H6:H7"/>
    <mergeCell ref="R6:R7"/>
    <mergeCell ref="P6:P7"/>
    <mergeCell ref="P4:R5"/>
    <mergeCell ref="Q6:Q7"/>
    <mergeCell ref="J6:J7"/>
    <mergeCell ref="I6:I7"/>
    <mergeCell ref="M5:M7"/>
    <mergeCell ref="N5:N7"/>
    <mergeCell ref="O5:O7"/>
    <mergeCell ref="L5:L7"/>
    <mergeCell ref="A23:B23"/>
    <mergeCell ref="A24:B24"/>
    <mergeCell ref="A16:B16"/>
    <mergeCell ref="K5:K7"/>
    <mergeCell ref="A26:B26"/>
    <mergeCell ref="C6:C7"/>
    <mergeCell ref="D6:D7"/>
    <mergeCell ref="E6:E7"/>
    <mergeCell ref="A17:B17"/>
    <mergeCell ref="F6:F7"/>
  </mergeCells>
  <pageMargins left="0.70000000000000007" right="0.70000000000000007" top="0.75" bottom="0.75" header="0.30000000000000004" footer="0.3000000000000000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7</vt:i4>
      </vt:variant>
    </vt:vector>
  </HeadingPairs>
  <TitlesOfParts>
    <vt:vector size="7" baseType="lpstr">
      <vt:lpstr>2.1. Fondo būklė</vt:lpstr>
      <vt:lpstr>2.2. Fondo sudėtis</vt:lpstr>
      <vt:lpstr>2.3. Fondo papildymas</vt:lpstr>
      <vt:lpstr>2.4. Aprūpinimas naujais dok.</vt:lpstr>
      <vt:lpstr>2.5. Papildymas pagal rūšis</vt:lpstr>
      <vt:lpstr>2.6. Periodinių leidinių fondas</vt:lpstr>
      <vt:lpstr>2.7. Fondo nurašymas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Živilė Levokaitė</dc:creator>
  <cp:lastModifiedBy>Živilė Levokaitė</cp:lastModifiedBy>
  <dcterms:created xsi:type="dcterms:W3CDTF">2020-05-06T10:24:38Z</dcterms:created>
  <dcterms:modified xsi:type="dcterms:W3CDTF">2022-04-21T06:58:20Z</dcterms:modified>
</cp:coreProperties>
</file>