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zivile\Desktop\2022 regiono ataskaita\"/>
    </mc:Choice>
  </mc:AlternateContent>
  <xr:revisionPtr revIDLastSave="0" documentId="13_ncr:1_{07E30F08-A736-4B4B-8C9C-592FF7A6F135}" xr6:coauthVersionLast="36" xr6:coauthVersionMax="36" xr10:uidLastSave="{00000000-0000-0000-0000-000000000000}"/>
  <bookViews>
    <workbookView xWindow="0" yWindow="0" windowWidth="28800" windowHeight="11700" firstSheet="9" activeTab="14" xr2:uid="{00000000-000D-0000-FFFF-FFFF00000000}"/>
  </bookViews>
  <sheets>
    <sheet name="3.1. Vartotojų telkimas" sheetId="1" r:id="rId1"/>
    <sheet name="3.2. Vartotojų skaičius" sheetId="2" r:id="rId2"/>
    <sheet name="3.2.1. Vaikų skaičius" sheetId="3" r:id="rId3"/>
    <sheet name="3.3. Lankytojų skaičius" sheetId="4" r:id="rId4"/>
    <sheet name="3.3.1. Lankytojų vaikų skaičius" sheetId="5" r:id="rId5"/>
    <sheet name="3.4. Dokumentų išduotis" sheetId="6" r:id="rId6"/>
    <sheet name="3.5. Grož. ir šakin. išduotis" sheetId="7" r:id="rId7"/>
    <sheet name="3.6. Periodin. išduotis" sheetId="8" r:id="rId8"/>
    <sheet name="3.7. Išduotis vietoje ir į nam." sheetId="9" r:id="rId9"/>
    <sheet name="3.8. Skaitomumas ir lankomumas" sheetId="10" r:id="rId10"/>
    <sheet name="3.9. Vaikų skaitomumas" sheetId="11" r:id="rId11"/>
    <sheet name="3.10. Darbo vietos" sheetId="15" r:id="rId12"/>
    <sheet name="3.11. Užklausos" sheetId="13" r:id="rId13"/>
    <sheet name="3.12. Renginiai" sheetId="14" r:id="rId14"/>
    <sheet name="3.13. El. paslaugos" sheetId="12" r:id="rId15"/>
  </sheets>
  <calcPr calcId="191029"/>
</workbook>
</file>

<file path=xl/calcChain.xml><?xml version="1.0" encoding="utf-8"?>
<calcChain xmlns="http://schemas.openxmlformats.org/spreadsheetml/2006/main">
  <c r="G25" i="1" l="1"/>
  <c r="D22" i="8" l="1"/>
  <c r="L20" i="7"/>
  <c r="Q26" i="15" l="1"/>
  <c r="J23" i="8" l="1"/>
  <c r="J22" i="8"/>
  <c r="J21" i="8"/>
  <c r="J20" i="8"/>
  <c r="J16" i="8"/>
  <c r="J15" i="8"/>
  <c r="J12" i="8"/>
  <c r="J11" i="8"/>
  <c r="H23" i="8"/>
  <c r="H20" i="8"/>
  <c r="H15" i="8"/>
  <c r="H12" i="8"/>
  <c r="H11" i="8"/>
  <c r="H10" i="8"/>
  <c r="F23" i="8"/>
  <c r="F22" i="8"/>
  <c r="F21" i="8"/>
  <c r="F20" i="8"/>
  <c r="F15" i="8"/>
  <c r="F14" i="8"/>
  <c r="F13" i="8"/>
  <c r="F12" i="8"/>
  <c r="F11" i="8"/>
  <c r="F10" i="8"/>
  <c r="D23" i="8"/>
  <c r="D21" i="8"/>
  <c r="D20" i="8"/>
  <c r="D15" i="8"/>
  <c r="D14" i="8"/>
  <c r="D13" i="8"/>
  <c r="D12" i="8"/>
  <c r="D11" i="8"/>
  <c r="D10" i="8"/>
  <c r="R18" i="7"/>
  <c r="N19" i="7"/>
  <c r="F19" i="7"/>
  <c r="R21" i="7"/>
  <c r="J21" i="7"/>
  <c r="R20" i="7"/>
  <c r="J20" i="7"/>
  <c r="R19" i="7"/>
  <c r="J19" i="7"/>
  <c r="J18" i="7"/>
  <c r="P21" i="7"/>
  <c r="H21" i="7"/>
  <c r="P18" i="7"/>
  <c r="H18" i="7"/>
  <c r="N21" i="7"/>
  <c r="F21" i="7"/>
  <c r="N20" i="7"/>
  <c r="F20" i="7"/>
  <c r="N18" i="7"/>
  <c r="F18" i="7"/>
  <c r="J13" i="7"/>
  <c r="P13" i="7"/>
  <c r="H13" i="7"/>
  <c r="P10" i="7"/>
  <c r="H10" i="7"/>
  <c r="N13" i="7"/>
  <c r="F13" i="7"/>
  <c r="H11" i="7"/>
  <c r="R13" i="7"/>
  <c r="L13" i="7"/>
  <c r="D13" i="7"/>
  <c r="N12" i="7"/>
  <c r="L12" i="7"/>
  <c r="F12" i="7"/>
  <c r="D12" i="7"/>
  <c r="N10" i="7"/>
  <c r="F10" i="7"/>
  <c r="L10" i="7"/>
  <c r="D10" i="7"/>
  <c r="R10" i="7"/>
  <c r="J10" i="7"/>
  <c r="R9" i="7"/>
  <c r="J9" i="7"/>
  <c r="P9" i="7"/>
  <c r="H9" i="7"/>
  <c r="N9" i="7"/>
  <c r="F9" i="7"/>
  <c r="L9" i="7"/>
  <c r="D9" i="7"/>
  <c r="L8" i="7"/>
  <c r="D8" i="7"/>
  <c r="N8" i="7"/>
  <c r="F8" i="7"/>
  <c r="P8" i="7"/>
  <c r="H8" i="7"/>
  <c r="I7" i="6"/>
  <c r="F14" i="7"/>
  <c r="F11" i="7"/>
  <c r="D21" i="7"/>
  <c r="D20" i="7"/>
  <c r="D19" i="7"/>
  <c r="D18" i="7"/>
  <c r="D14" i="7"/>
  <c r="F16" i="8"/>
  <c r="D16" i="8"/>
  <c r="L14" i="7"/>
  <c r="N14" i="7"/>
  <c r="R14" i="7"/>
  <c r="J14" i="7"/>
  <c r="H13" i="8"/>
  <c r="P11" i="7"/>
  <c r="N11" i="7"/>
  <c r="L11" i="7"/>
  <c r="D11" i="7"/>
  <c r="E8" i="11" l="1"/>
  <c r="F20" i="11" l="1"/>
  <c r="F19" i="11"/>
  <c r="F18" i="11"/>
  <c r="F14" i="11"/>
  <c r="F13" i="11"/>
  <c r="F10" i="11"/>
  <c r="F9" i="11"/>
  <c r="J20" i="11"/>
  <c r="J19" i="11"/>
  <c r="J18" i="11"/>
  <c r="J14" i="11"/>
  <c r="J13" i="11"/>
  <c r="J10" i="11"/>
  <c r="J9" i="11"/>
  <c r="E18" i="11"/>
  <c r="E13" i="11"/>
  <c r="E11" i="11"/>
  <c r="E10" i="11"/>
  <c r="E9" i="11"/>
  <c r="I18" i="11"/>
  <c r="I13" i="11"/>
  <c r="I11" i="11"/>
  <c r="I10" i="11"/>
  <c r="I9" i="11"/>
  <c r="I8" i="11"/>
  <c r="H21" i="11"/>
  <c r="H20" i="11"/>
  <c r="H19" i="11"/>
  <c r="H18" i="11"/>
  <c r="H14" i="11"/>
  <c r="H13" i="11"/>
  <c r="H12" i="11"/>
  <c r="H11" i="11"/>
  <c r="H10" i="11"/>
  <c r="H9" i="11"/>
  <c r="H8" i="11"/>
  <c r="D21" i="11"/>
  <c r="D20" i="11"/>
  <c r="D19" i="11"/>
  <c r="D18" i="11"/>
  <c r="D14" i="11"/>
  <c r="D13" i="11"/>
  <c r="D12" i="11"/>
  <c r="D11" i="11"/>
  <c r="D10" i="11"/>
  <c r="D9" i="11"/>
  <c r="D8" i="11"/>
  <c r="C21" i="11"/>
  <c r="C20" i="11"/>
  <c r="C19" i="11"/>
  <c r="C18" i="11"/>
  <c r="C14" i="11"/>
  <c r="C13" i="11"/>
  <c r="C12" i="11"/>
  <c r="C11" i="11"/>
  <c r="C10" i="11"/>
  <c r="C9" i="11"/>
  <c r="C8" i="11"/>
  <c r="G21" i="11"/>
  <c r="G20" i="11"/>
  <c r="G19" i="11"/>
  <c r="G18" i="11"/>
  <c r="G14" i="11"/>
  <c r="G13" i="11"/>
  <c r="G12" i="11"/>
  <c r="G11" i="11"/>
  <c r="G10" i="11"/>
  <c r="G9" i="11"/>
  <c r="G8" i="11"/>
  <c r="C15" i="11" l="1"/>
  <c r="C16" i="11" s="1"/>
  <c r="J20" i="10"/>
  <c r="J19" i="10"/>
  <c r="J18" i="10"/>
  <c r="J14" i="10"/>
  <c r="J13" i="10"/>
  <c r="J10" i="10"/>
  <c r="J9" i="10"/>
  <c r="F20" i="10"/>
  <c r="F19" i="10"/>
  <c r="F18" i="10"/>
  <c r="F14" i="10"/>
  <c r="F13" i="10"/>
  <c r="F10" i="10"/>
  <c r="F9" i="10"/>
  <c r="E18" i="10"/>
  <c r="E13" i="10"/>
  <c r="E11" i="10"/>
  <c r="E10" i="10"/>
  <c r="E9" i="10"/>
  <c r="E8" i="10"/>
  <c r="I18" i="10"/>
  <c r="I13" i="10"/>
  <c r="I11" i="10"/>
  <c r="I10" i="10"/>
  <c r="I9" i="10"/>
  <c r="I8" i="10"/>
  <c r="H21" i="10"/>
  <c r="H20" i="10"/>
  <c r="H19" i="10"/>
  <c r="H18" i="10"/>
  <c r="H14" i="10"/>
  <c r="H13" i="10"/>
  <c r="H12" i="10"/>
  <c r="H11" i="10"/>
  <c r="H10" i="10"/>
  <c r="H9" i="10"/>
  <c r="H8" i="10"/>
  <c r="D21" i="10"/>
  <c r="D20" i="10"/>
  <c r="D19" i="10"/>
  <c r="D18" i="10"/>
  <c r="D14" i="10"/>
  <c r="D13" i="10"/>
  <c r="D12" i="10"/>
  <c r="D11" i="10"/>
  <c r="D10" i="10"/>
  <c r="D9" i="10"/>
  <c r="D8" i="10"/>
  <c r="G21" i="10"/>
  <c r="G20" i="10"/>
  <c r="G19" i="10"/>
  <c r="G18" i="10"/>
  <c r="G14" i="10"/>
  <c r="G13" i="10"/>
  <c r="G12" i="10"/>
  <c r="G11" i="10"/>
  <c r="G10" i="10"/>
  <c r="G9" i="10"/>
  <c r="G8" i="10"/>
  <c r="C21" i="10"/>
  <c r="C20" i="10"/>
  <c r="C19" i="10"/>
  <c r="C18" i="10"/>
  <c r="C14" i="10"/>
  <c r="C13" i="10"/>
  <c r="C12" i="10"/>
  <c r="C11" i="10"/>
  <c r="C10" i="10"/>
  <c r="C9" i="10"/>
  <c r="C8" i="10"/>
  <c r="E7" i="12" l="1"/>
  <c r="Q21" i="12"/>
  <c r="Q22" i="12" s="1"/>
  <c r="G14" i="12"/>
  <c r="G15" i="12" s="1"/>
  <c r="H14" i="12"/>
  <c r="H15" i="12" s="1"/>
  <c r="K14" i="12"/>
  <c r="K15" i="12" s="1"/>
  <c r="L14" i="12"/>
  <c r="L15" i="12" s="1"/>
  <c r="G21" i="12"/>
  <c r="G22" i="12" s="1"/>
  <c r="H21" i="12"/>
  <c r="H22" i="12" s="1"/>
  <c r="K21" i="12"/>
  <c r="K22" i="12" s="1"/>
  <c r="L21" i="12"/>
  <c r="L22" i="12"/>
  <c r="G23" i="12" l="1"/>
  <c r="G24" i="12" s="1"/>
  <c r="L23" i="12"/>
  <c r="L24" i="12" s="1"/>
  <c r="H23" i="12"/>
  <c r="H24" i="12" s="1"/>
  <c r="K23" i="12"/>
  <c r="K24" i="12" s="1"/>
  <c r="Q9" i="14"/>
  <c r="R9" i="14" s="1"/>
  <c r="I21" i="14"/>
  <c r="J21" i="14" s="1"/>
  <c r="I20" i="14"/>
  <c r="J20" i="14" s="1"/>
  <c r="I19" i="14"/>
  <c r="J19" i="14" s="1"/>
  <c r="I18" i="14"/>
  <c r="J18" i="14" s="1"/>
  <c r="I14" i="14"/>
  <c r="J14" i="14" s="1"/>
  <c r="I13" i="14"/>
  <c r="J13" i="14" s="1"/>
  <c r="I12" i="14"/>
  <c r="J12" i="14" s="1"/>
  <c r="I11" i="14"/>
  <c r="J11" i="14" s="1"/>
  <c r="I10" i="14"/>
  <c r="J10" i="14" s="1"/>
  <c r="I9" i="14"/>
  <c r="J9" i="14" s="1"/>
  <c r="I8" i="14"/>
  <c r="J8" i="14" s="1"/>
  <c r="E9" i="14"/>
  <c r="F9" i="14" s="1"/>
  <c r="J21" i="13"/>
  <c r="J20" i="13"/>
  <c r="J19" i="13"/>
  <c r="J18" i="13"/>
  <c r="J14" i="13"/>
  <c r="J13" i="13"/>
  <c r="J12" i="13"/>
  <c r="J11" i="13"/>
  <c r="J10" i="13"/>
  <c r="J9" i="13"/>
  <c r="J8" i="13"/>
  <c r="Q9" i="13" l="1"/>
  <c r="R9" i="13" s="1"/>
  <c r="M18" i="13"/>
  <c r="M13" i="13"/>
  <c r="M10" i="13"/>
  <c r="M9" i="13"/>
  <c r="E9" i="13"/>
  <c r="F9" i="13" s="1"/>
  <c r="V20" i="15" l="1"/>
  <c r="V19" i="15"/>
  <c r="V15" i="15"/>
  <c r="V14" i="15"/>
  <c r="V11" i="15"/>
  <c r="V10" i="15"/>
  <c r="L8" i="14"/>
  <c r="K8" i="14"/>
  <c r="L8" i="13"/>
  <c r="K8" i="13"/>
  <c r="P9" i="15"/>
  <c r="O9" i="15"/>
  <c r="N9" i="15"/>
  <c r="Q9" i="15" s="1"/>
  <c r="M9" i="15"/>
  <c r="I8" i="9"/>
  <c r="E8" i="9"/>
  <c r="I8" i="5"/>
  <c r="Q19" i="15"/>
  <c r="Q12" i="15"/>
  <c r="Q11" i="15"/>
  <c r="L19" i="15" l="1"/>
  <c r="L15" i="15"/>
  <c r="L13" i="15"/>
  <c r="J7" i="6"/>
  <c r="H18" i="6"/>
  <c r="H14" i="5"/>
  <c r="E18" i="13"/>
  <c r="F18" i="13" s="1"/>
  <c r="J8" i="5"/>
  <c r="L8" i="4" l="1"/>
  <c r="M8" i="4"/>
  <c r="P21" i="3" l="1"/>
  <c r="P20" i="3"/>
  <c r="P19" i="3"/>
  <c r="P15" i="3"/>
  <c r="P14" i="3"/>
  <c r="P11" i="3"/>
  <c r="P10" i="3"/>
  <c r="L19" i="3"/>
  <c r="L14" i="3"/>
  <c r="L12" i="3"/>
  <c r="L11" i="3"/>
  <c r="L10" i="3"/>
  <c r="K9" i="3"/>
  <c r="L9" i="3" s="1"/>
  <c r="H22" i="3"/>
  <c r="H21" i="3"/>
  <c r="H20" i="3"/>
  <c r="H19" i="3"/>
  <c r="H15" i="3"/>
  <c r="H14" i="3"/>
  <c r="H13" i="3"/>
  <c r="H12" i="3"/>
  <c r="H11" i="3"/>
  <c r="H10" i="3"/>
  <c r="H9" i="3"/>
  <c r="D22" i="3"/>
  <c r="D21" i="3"/>
  <c r="D20" i="3"/>
  <c r="D19" i="3"/>
  <c r="D15" i="3"/>
  <c r="D14" i="3"/>
  <c r="D13" i="3"/>
  <c r="D12" i="3"/>
  <c r="D11" i="3"/>
  <c r="D10" i="3"/>
  <c r="D9" i="3"/>
  <c r="I8" i="1"/>
  <c r="M9" i="3"/>
  <c r="O21" i="1"/>
  <c r="O20" i="1"/>
  <c r="O19" i="1"/>
  <c r="O18" i="1"/>
  <c r="O14" i="1"/>
  <c r="O13" i="1"/>
  <c r="O12" i="1"/>
  <c r="O11" i="1"/>
  <c r="O10" i="1"/>
  <c r="O9" i="1"/>
  <c r="O8" i="1"/>
  <c r="N21" i="1"/>
  <c r="N20" i="1"/>
  <c r="N19" i="1"/>
  <c r="N18" i="1"/>
  <c r="N14" i="1"/>
  <c r="N13" i="1"/>
  <c r="N12" i="1"/>
  <c r="N11" i="1"/>
  <c r="N10" i="1"/>
  <c r="N9" i="1"/>
  <c r="N8" i="1"/>
  <c r="K9" i="1"/>
  <c r="M9" i="1" l="1"/>
  <c r="J21" i="1"/>
  <c r="J20" i="1"/>
  <c r="J19" i="1"/>
  <c r="J18" i="1"/>
  <c r="J14" i="1"/>
  <c r="J13" i="1" l="1"/>
  <c r="J10" i="1"/>
  <c r="J9" i="1"/>
  <c r="I21" i="1"/>
  <c r="I18" i="1"/>
  <c r="I11" i="1"/>
  <c r="I10" i="1"/>
  <c r="I9" i="1"/>
  <c r="H21" i="1"/>
  <c r="H20" i="1"/>
  <c r="H19" i="1"/>
  <c r="H18" i="1"/>
  <c r="H14" i="1"/>
  <c r="H13" i="1"/>
  <c r="H12" i="1"/>
  <c r="H11" i="1"/>
  <c r="H10" i="1"/>
  <c r="H9" i="1"/>
  <c r="H8" i="1"/>
  <c r="O8" i="2"/>
  <c r="N8" i="2"/>
  <c r="M8" i="2"/>
  <c r="G21" i="1"/>
  <c r="G20" i="1"/>
  <c r="G19" i="1"/>
  <c r="G18" i="1"/>
  <c r="G14" i="1"/>
  <c r="G13" i="1"/>
  <c r="G12" i="1"/>
  <c r="G11" i="1"/>
  <c r="G10" i="1"/>
  <c r="G9" i="1"/>
  <c r="G8" i="1"/>
  <c r="P8" i="2"/>
  <c r="H15" i="1" l="1"/>
  <c r="L21" i="7"/>
  <c r="L19" i="7"/>
  <c r="L18" i="7"/>
  <c r="V21" i="15" l="1"/>
  <c r="L21" i="15"/>
  <c r="L12" i="15"/>
  <c r="L11" i="15"/>
  <c r="L9" i="15"/>
  <c r="N9" i="13" l="1"/>
  <c r="E13" i="13" l="1"/>
  <c r="F13" i="13" s="1"/>
  <c r="E13" i="14" l="1"/>
  <c r="F13" i="14" s="1"/>
  <c r="E8" i="14" l="1"/>
  <c r="F8" i="14" s="1"/>
  <c r="D15" i="11" l="1"/>
  <c r="D16" i="11" s="1"/>
  <c r="H22" i="9"/>
  <c r="M22" i="4" l="1"/>
  <c r="M23" i="4" s="1"/>
  <c r="E20" i="4"/>
  <c r="K18" i="1" l="1"/>
  <c r="K13" i="1" l="1"/>
  <c r="M8" i="14" l="1"/>
  <c r="N8" i="14" s="1"/>
  <c r="M9" i="14"/>
  <c r="N9" i="14" s="1"/>
  <c r="M8" i="13" l="1"/>
  <c r="N8" i="13" s="1"/>
  <c r="E21" i="13" l="1"/>
  <c r="F21" i="13" s="1"/>
  <c r="L8" i="1" l="1"/>
  <c r="R21" i="12" l="1"/>
  <c r="R22" i="12" s="1"/>
  <c r="R14" i="12"/>
  <c r="R15" i="12" s="1"/>
  <c r="Q14" i="12"/>
  <c r="Q23" i="12" l="1"/>
  <c r="Q24" i="12" s="1"/>
  <c r="Q15" i="12"/>
  <c r="R23" i="12"/>
  <c r="R24" i="12" s="1"/>
  <c r="N18" i="13"/>
  <c r="N13" i="13"/>
  <c r="N10" i="13"/>
  <c r="Q10" i="15" l="1"/>
  <c r="L22" i="15"/>
  <c r="L14" i="15"/>
  <c r="L10" i="15"/>
  <c r="Q21" i="14" l="1"/>
  <c r="R21" i="14" s="1"/>
  <c r="E21" i="14"/>
  <c r="F21" i="14" s="1"/>
  <c r="E18" i="14"/>
  <c r="F18" i="14" s="1"/>
  <c r="K21" i="1" l="1"/>
  <c r="O23" i="3" l="1"/>
  <c r="O24" i="3" s="1"/>
  <c r="Q22" i="7" l="1"/>
  <c r="Q23" i="7" s="1"/>
  <c r="P22" i="7"/>
  <c r="P23" i="7" s="1"/>
  <c r="O22" i="7"/>
  <c r="O23" i="7" s="1"/>
  <c r="M22" i="7"/>
  <c r="K22" i="7"/>
  <c r="K23" i="7" s="1"/>
  <c r="I22" i="7"/>
  <c r="I23" i="7" s="1"/>
  <c r="H22" i="7"/>
  <c r="H23" i="7" s="1"/>
  <c r="Q15" i="7"/>
  <c r="Q16" i="7" s="1"/>
  <c r="O15" i="7"/>
  <c r="O16" i="7" s="1"/>
  <c r="M15" i="7"/>
  <c r="M16" i="7" s="1"/>
  <c r="K15" i="7"/>
  <c r="K16" i="7" s="1"/>
  <c r="I15" i="7"/>
  <c r="I16" i="7" s="1"/>
  <c r="Q24" i="7" l="1"/>
  <c r="Q25" i="7" s="1"/>
  <c r="O24" i="7"/>
  <c r="O25" i="7" s="1"/>
  <c r="M24" i="7"/>
  <c r="M25" i="7" s="1"/>
  <c r="K24" i="7"/>
  <c r="K25" i="7" s="1"/>
  <c r="M23" i="7"/>
  <c r="R15" i="7"/>
  <c r="R16" i="7" s="1"/>
  <c r="P15" i="7"/>
  <c r="P16" i="7" s="1"/>
  <c r="N15" i="7"/>
  <c r="L15" i="7"/>
  <c r="L16" i="7" s="1"/>
  <c r="J15" i="7"/>
  <c r="J16" i="7" s="1"/>
  <c r="H15" i="7"/>
  <c r="H16" i="7" s="1"/>
  <c r="P24" i="7" l="1"/>
  <c r="P25" i="7" s="1"/>
  <c r="N16" i="7"/>
  <c r="H24" i="7"/>
  <c r="H25" i="7" s="1"/>
  <c r="G22" i="7"/>
  <c r="G23" i="7" s="1"/>
  <c r="G15" i="7"/>
  <c r="G16" i="7" s="1"/>
  <c r="E15" i="7"/>
  <c r="E16" i="7" s="1"/>
  <c r="E22" i="7"/>
  <c r="E23" i="7" s="1"/>
  <c r="D22" i="7"/>
  <c r="D23" i="7" s="1"/>
  <c r="D15" i="7"/>
  <c r="D16" i="7" s="1"/>
  <c r="C22" i="7"/>
  <c r="C23" i="7" s="1"/>
  <c r="C15" i="7"/>
  <c r="C16" i="7" s="1"/>
  <c r="H26" i="8"/>
  <c r="H27" i="8" s="1"/>
  <c r="I24" i="8"/>
  <c r="I25" i="8" s="1"/>
  <c r="H24" i="8"/>
  <c r="H25" i="8" s="1"/>
  <c r="G24" i="8"/>
  <c r="G25" i="8" s="1"/>
  <c r="E24" i="8"/>
  <c r="E25" i="8" s="1"/>
  <c r="C24" i="8"/>
  <c r="C25" i="8" s="1"/>
  <c r="J17" i="8"/>
  <c r="J18" i="8" s="1"/>
  <c r="I17" i="8"/>
  <c r="I18" i="8" s="1"/>
  <c r="H17" i="8"/>
  <c r="H18" i="8" s="1"/>
  <c r="G17" i="8"/>
  <c r="G18" i="8" s="1"/>
  <c r="F17" i="8"/>
  <c r="F18" i="8" s="1"/>
  <c r="E17" i="8"/>
  <c r="D17" i="8"/>
  <c r="D18" i="8" s="1"/>
  <c r="C17" i="8"/>
  <c r="C18" i="8" s="1"/>
  <c r="G26" i="8" l="1"/>
  <c r="G27" i="8" s="1"/>
  <c r="E26" i="8"/>
  <c r="E27" i="8" s="1"/>
  <c r="E18" i="8"/>
  <c r="G24" i="7"/>
  <c r="G25" i="7" s="1"/>
  <c r="I26" i="8"/>
  <c r="I27" i="8" s="1"/>
  <c r="D24" i="7"/>
  <c r="D25" i="7" s="1"/>
  <c r="E24" i="7"/>
  <c r="E25" i="7" s="1"/>
  <c r="C24" i="7"/>
  <c r="C25" i="7" s="1"/>
  <c r="C26" i="8"/>
  <c r="C27" i="8" s="1"/>
  <c r="D24" i="8"/>
  <c r="D25" i="8" s="1"/>
  <c r="F24" i="8"/>
  <c r="F25" i="8" s="1"/>
  <c r="J24" i="8"/>
  <c r="J25" i="8" s="1"/>
  <c r="R22" i="7"/>
  <c r="R23" i="7" s="1"/>
  <c r="N22" i="7"/>
  <c r="L22" i="7"/>
  <c r="L23" i="7" s="1"/>
  <c r="J22" i="7"/>
  <c r="J23" i="7" s="1"/>
  <c r="F22" i="7"/>
  <c r="F23" i="7" s="1"/>
  <c r="D26" i="8" l="1"/>
  <c r="D27" i="8" s="1"/>
  <c r="J26" i="8"/>
  <c r="J27" i="8" s="1"/>
  <c r="F26" i="8"/>
  <c r="F27" i="8" s="1"/>
  <c r="J24" i="7"/>
  <c r="J25" i="7" s="1"/>
  <c r="I24" i="7"/>
  <c r="I25" i="7" s="1"/>
  <c r="L24" i="7"/>
  <c r="L25" i="7" s="1"/>
  <c r="R24" i="7"/>
  <c r="R25" i="7" s="1"/>
  <c r="N23" i="7"/>
  <c r="N24" i="7"/>
  <c r="N25" i="7" s="1"/>
  <c r="Q19" i="14" l="1"/>
  <c r="R19" i="14" s="1"/>
  <c r="Q20" i="14"/>
  <c r="R20" i="14" s="1"/>
  <c r="Q18" i="14"/>
  <c r="R18" i="14" s="1"/>
  <c r="Q14" i="14"/>
  <c r="R14" i="14" s="1"/>
  <c r="Q13" i="14"/>
  <c r="R13" i="14" s="1"/>
  <c r="Q10" i="14"/>
  <c r="R10" i="14" s="1"/>
  <c r="M21" i="14"/>
  <c r="N21" i="14" s="1"/>
  <c r="M18" i="14"/>
  <c r="N18" i="14" s="1"/>
  <c r="M13" i="14"/>
  <c r="N13" i="14" s="1"/>
  <c r="M11" i="14"/>
  <c r="N11" i="14" s="1"/>
  <c r="M10" i="14"/>
  <c r="N10" i="14" s="1"/>
  <c r="I22" i="14"/>
  <c r="I23" i="14" s="1"/>
  <c r="I15" i="14"/>
  <c r="I16" i="14" s="1"/>
  <c r="E20" i="14"/>
  <c r="F20" i="14" s="1"/>
  <c r="E19" i="14"/>
  <c r="F19" i="14" s="1"/>
  <c r="E14" i="14"/>
  <c r="F14" i="14" s="1"/>
  <c r="E12" i="14"/>
  <c r="F12" i="14" s="1"/>
  <c r="E11" i="14"/>
  <c r="F11" i="14" s="1"/>
  <c r="E10" i="14"/>
  <c r="F10" i="14" s="1"/>
  <c r="J22" i="14" l="1"/>
  <c r="J23" i="14" s="1"/>
  <c r="J15" i="14"/>
  <c r="J16" i="14" s="1"/>
  <c r="Q22" i="14"/>
  <c r="Q23" i="14" s="1"/>
  <c r="R22" i="14"/>
  <c r="R23" i="14" s="1"/>
  <c r="Q15" i="14"/>
  <c r="R15" i="14"/>
  <c r="R16" i="14" s="1"/>
  <c r="N22" i="14"/>
  <c r="N23" i="14" s="1"/>
  <c r="M22" i="14"/>
  <c r="M23" i="14" s="1"/>
  <c r="N15" i="14"/>
  <c r="N16" i="14" s="1"/>
  <c r="F22" i="14"/>
  <c r="F23" i="14" s="1"/>
  <c r="F15" i="14"/>
  <c r="F16" i="14" s="1"/>
  <c r="M15" i="14"/>
  <c r="M16" i="14" s="1"/>
  <c r="E15" i="14"/>
  <c r="E16" i="14" s="1"/>
  <c r="E22" i="14"/>
  <c r="E23" i="14" s="1"/>
  <c r="I24" i="14"/>
  <c r="I25" i="14" s="1"/>
  <c r="Q24" i="14" l="1"/>
  <c r="Q25" i="14" s="1"/>
  <c r="Q16" i="14"/>
  <c r="J24" i="14"/>
  <c r="J25" i="14" s="1"/>
  <c r="F24" i="14"/>
  <c r="F25" i="14" s="1"/>
  <c r="R24" i="14"/>
  <c r="R25" i="14" s="1"/>
  <c r="N24" i="14"/>
  <c r="N25" i="14" s="1"/>
  <c r="M24" i="14"/>
  <c r="M25" i="14" s="1"/>
  <c r="E24" i="14"/>
  <c r="E25" i="14" s="1"/>
  <c r="P15" i="14" l="1"/>
  <c r="P16" i="14" s="1"/>
  <c r="O15" i="14"/>
  <c r="O16" i="14" s="1"/>
  <c r="P22" i="14"/>
  <c r="P23" i="14" s="1"/>
  <c r="O22" i="14"/>
  <c r="O23" i="14" s="1"/>
  <c r="L22" i="14"/>
  <c r="L23" i="14" s="1"/>
  <c r="K22" i="14"/>
  <c r="K23" i="14" s="1"/>
  <c r="L15" i="14"/>
  <c r="L16" i="14" s="1"/>
  <c r="K15" i="14"/>
  <c r="K16" i="14" s="1"/>
  <c r="H22" i="14"/>
  <c r="H23" i="14" s="1"/>
  <c r="G22" i="14"/>
  <c r="G23" i="14" s="1"/>
  <c r="H15" i="14"/>
  <c r="H16" i="14" s="1"/>
  <c r="G15" i="14"/>
  <c r="D22" i="14"/>
  <c r="D23" i="14" s="1"/>
  <c r="C22" i="14"/>
  <c r="C23" i="14" s="1"/>
  <c r="D15" i="14"/>
  <c r="D16" i="14" s="1"/>
  <c r="C15" i="14"/>
  <c r="C16" i="14" s="1"/>
  <c r="O24" i="14" l="1"/>
  <c r="O25" i="14" s="1"/>
  <c r="G24" i="14"/>
  <c r="G25" i="14" s="1"/>
  <c r="P24" i="14"/>
  <c r="P25" i="14" s="1"/>
  <c r="C24" i="14"/>
  <c r="C25" i="14" s="1"/>
  <c r="K24" i="14"/>
  <c r="K25" i="14" s="1"/>
  <c r="L24" i="14"/>
  <c r="L25" i="14" s="1"/>
  <c r="D24" i="14"/>
  <c r="D25" i="14" s="1"/>
  <c r="H24" i="14"/>
  <c r="H25" i="14" s="1"/>
  <c r="G16" i="14"/>
  <c r="J22" i="13"/>
  <c r="J23" i="13" s="1"/>
  <c r="J15" i="13"/>
  <c r="J16" i="13" s="1"/>
  <c r="Q13" i="13"/>
  <c r="R13" i="13" s="1"/>
  <c r="E20" i="13"/>
  <c r="F20" i="13" s="1"/>
  <c r="E19" i="13"/>
  <c r="F19" i="13" s="1"/>
  <c r="Q21" i="13"/>
  <c r="R21" i="13" s="1"/>
  <c r="Q20" i="13"/>
  <c r="R20" i="13" s="1"/>
  <c r="Q19" i="13"/>
  <c r="R19" i="13" s="1"/>
  <c r="Q18" i="13"/>
  <c r="R18" i="13" s="1"/>
  <c r="Q14" i="13"/>
  <c r="R14" i="13" s="1"/>
  <c r="Q10" i="13"/>
  <c r="R10" i="13" s="1"/>
  <c r="P22" i="13"/>
  <c r="P23" i="13" s="1"/>
  <c r="O22" i="13"/>
  <c r="O23" i="13" s="1"/>
  <c r="P15" i="13"/>
  <c r="P16" i="13" s="1"/>
  <c r="O15" i="13"/>
  <c r="O16" i="13" s="1"/>
  <c r="M21" i="13"/>
  <c r="N21" i="13" s="1"/>
  <c r="M11" i="13"/>
  <c r="N11" i="13" s="1"/>
  <c r="I22" i="13"/>
  <c r="I15" i="13"/>
  <c r="I16" i="13" s="1"/>
  <c r="D22" i="13"/>
  <c r="D23" i="13" s="1"/>
  <c r="D15" i="13"/>
  <c r="D16" i="13" s="1"/>
  <c r="C15" i="13"/>
  <c r="C16" i="13" s="1"/>
  <c r="C22" i="13"/>
  <c r="C23" i="13" s="1"/>
  <c r="E14" i="13"/>
  <c r="F14" i="13" s="1"/>
  <c r="E12" i="13"/>
  <c r="F12" i="13" s="1"/>
  <c r="E11" i="13"/>
  <c r="F11" i="13" s="1"/>
  <c r="E10" i="13"/>
  <c r="F10" i="13" s="1"/>
  <c r="E8" i="13"/>
  <c r="F8" i="13" s="1"/>
  <c r="M22" i="13" l="1"/>
  <c r="M23" i="13" s="1"/>
  <c r="N22" i="13"/>
  <c r="N23" i="13" s="1"/>
  <c r="J24" i="13"/>
  <c r="J25" i="13" s="1"/>
  <c r="F22" i="13"/>
  <c r="F23" i="13" s="1"/>
  <c r="F15" i="13"/>
  <c r="C24" i="13"/>
  <c r="C25" i="13" s="1"/>
  <c r="Q22" i="13"/>
  <c r="Q23" i="13" s="1"/>
  <c r="R22" i="13"/>
  <c r="R23" i="13" s="1"/>
  <c r="I24" i="13"/>
  <c r="I25" i="13" s="1"/>
  <c r="E15" i="13"/>
  <c r="E16" i="13" s="1"/>
  <c r="Q15" i="13"/>
  <c r="R15" i="13"/>
  <c r="R16" i="13" s="1"/>
  <c r="E22" i="13"/>
  <c r="E23" i="13" s="1"/>
  <c r="D24" i="13"/>
  <c r="D25" i="13" s="1"/>
  <c r="O24" i="13"/>
  <c r="O25" i="13" s="1"/>
  <c r="P24" i="13"/>
  <c r="P25" i="13" s="1"/>
  <c r="I23" i="13"/>
  <c r="Q24" i="13" l="1"/>
  <c r="Q25" i="13" s="1"/>
  <c r="Q16" i="13"/>
  <c r="F24" i="13"/>
  <c r="F25" i="13" s="1"/>
  <c r="F16" i="13"/>
  <c r="E24" i="13"/>
  <c r="E25" i="13" s="1"/>
  <c r="R24" i="13"/>
  <c r="R25" i="13" s="1"/>
  <c r="L15" i="13"/>
  <c r="L16" i="13" s="1"/>
  <c r="L22" i="13"/>
  <c r="L23" i="13" s="1"/>
  <c r="K22" i="13"/>
  <c r="K23" i="13" s="1"/>
  <c r="H22" i="13"/>
  <c r="H23" i="13" s="1"/>
  <c r="G22" i="13"/>
  <c r="G23" i="13" s="1"/>
  <c r="H15" i="13"/>
  <c r="H16" i="13" s="1"/>
  <c r="G15" i="13"/>
  <c r="G16" i="13" s="1"/>
  <c r="M15" i="13" l="1"/>
  <c r="M16" i="13" s="1"/>
  <c r="N15" i="13"/>
  <c r="N16" i="13" s="1"/>
  <c r="G24" i="13"/>
  <c r="G25" i="13" s="1"/>
  <c r="K15" i="13"/>
  <c r="K16" i="13" s="1"/>
  <c r="H24" i="13"/>
  <c r="H25" i="13" s="1"/>
  <c r="L24" i="13"/>
  <c r="L25" i="13" s="1"/>
  <c r="V22" i="15"/>
  <c r="U23" i="15"/>
  <c r="U24" i="15" s="1"/>
  <c r="T23" i="15"/>
  <c r="T24" i="15" s="1"/>
  <c r="S23" i="15"/>
  <c r="S24" i="15" s="1"/>
  <c r="U16" i="15"/>
  <c r="U17" i="15" s="1"/>
  <c r="T16" i="15"/>
  <c r="T17" i="15" s="1"/>
  <c r="S16" i="15"/>
  <c r="S17" i="15" s="1"/>
  <c r="R23" i="15"/>
  <c r="R24" i="15" s="1"/>
  <c r="R16" i="15"/>
  <c r="R17" i="15" s="1"/>
  <c r="Q22" i="15"/>
  <c r="Q23" i="15" s="1"/>
  <c r="Q14" i="15"/>
  <c r="Q16" i="15" s="1"/>
  <c r="Q17" i="15" s="1"/>
  <c r="P23" i="15"/>
  <c r="P24" i="15" s="1"/>
  <c r="O23" i="15"/>
  <c r="O24" i="15" s="1"/>
  <c r="N23" i="15"/>
  <c r="N24" i="15" s="1"/>
  <c r="P16" i="15"/>
  <c r="O16" i="15"/>
  <c r="O17" i="15" s="1"/>
  <c r="N16" i="15"/>
  <c r="N17" i="15" s="1"/>
  <c r="M23" i="15"/>
  <c r="M24" i="15" s="1"/>
  <c r="M16" i="15"/>
  <c r="M17" i="15" s="1"/>
  <c r="L20" i="15"/>
  <c r="L16" i="15"/>
  <c r="L17" i="15" s="1"/>
  <c r="K23" i="15"/>
  <c r="K24" i="15" s="1"/>
  <c r="J23" i="15"/>
  <c r="J24" i="15" s="1"/>
  <c r="I23" i="15"/>
  <c r="I24" i="15" s="1"/>
  <c r="K16" i="15"/>
  <c r="K17" i="15" s="1"/>
  <c r="J16" i="15"/>
  <c r="J17" i="15" s="1"/>
  <c r="I16" i="15"/>
  <c r="H23" i="15"/>
  <c r="H24" i="15" s="1"/>
  <c r="H16" i="15"/>
  <c r="F23" i="15"/>
  <c r="F24" i="15" s="1"/>
  <c r="E23" i="15"/>
  <c r="E24" i="15" s="1"/>
  <c r="F16" i="15"/>
  <c r="F17" i="15" s="1"/>
  <c r="E16" i="15"/>
  <c r="E17" i="15" s="1"/>
  <c r="D23" i="15"/>
  <c r="D24" i="15" s="1"/>
  <c r="D16" i="15"/>
  <c r="D17" i="15" s="1"/>
  <c r="C23" i="15"/>
  <c r="C24" i="15" s="1"/>
  <c r="C16" i="15"/>
  <c r="C17" i="15" s="1"/>
  <c r="P25" i="15" l="1"/>
  <c r="P26" i="15" s="1"/>
  <c r="P17" i="15"/>
  <c r="U25" i="15"/>
  <c r="U26" i="15" s="1"/>
  <c r="H25" i="15"/>
  <c r="H26" i="15" s="1"/>
  <c r="V23" i="15"/>
  <c r="V24" i="15" s="1"/>
  <c r="R25" i="15"/>
  <c r="R26" i="15" s="1"/>
  <c r="N24" i="13"/>
  <c r="N25" i="13" s="1"/>
  <c r="M24" i="13"/>
  <c r="M25" i="13" s="1"/>
  <c r="T25" i="15"/>
  <c r="T26" i="15" s="1"/>
  <c r="V16" i="15"/>
  <c r="V17" i="15" s="1"/>
  <c r="S25" i="15"/>
  <c r="S26" i="15" s="1"/>
  <c r="N25" i="15"/>
  <c r="N26" i="15" s="1"/>
  <c r="M25" i="15"/>
  <c r="M26" i="15" s="1"/>
  <c r="J25" i="15"/>
  <c r="J26" i="15" s="1"/>
  <c r="K25" i="15"/>
  <c r="K26" i="15" s="1"/>
  <c r="L23" i="15"/>
  <c r="L24" i="15" s="1"/>
  <c r="I25" i="15"/>
  <c r="I26" i="15" s="1"/>
  <c r="I17" i="15"/>
  <c r="H17" i="15"/>
  <c r="L25" i="15"/>
  <c r="L26" i="15" s="1"/>
  <c r="G23" i="15"/>
  <c r="G24" i="15" s="1"/>
  <c r="D25" i="15"/>
  <c r="D26" i="15" s="1"/>
  <c r="G16" i="15"/>
  <c r="G17" i="15" s="1"/>
  <c r="F25" i="15"/>
  <c r="F26" i="15" s="1"/>
  <c r="E25" i="15"/>
  <c r="E26" i="15" s="1"/>
  <c r="C25" i="15"/>
  <c r="C26" i="15" s="1"/>
  <c r="K24" i="13"/>
  <c r="K25" i="13" s="1"/>
  <c r="O25" i="15"/>
  <c r="O26" i="15" s="1"/>
  <c r="V25" i="15" l="1"/>
  <c r="V26" i="15" s="1"/>
  <c r="G25" i="15"/>
  <c r="G26" i="15" s="1"/>
  <c r="H22" i="11"/>
  <c r="H23" i="11" s="1"/>
  <c r="J22" i="11"/>
  <c r="J23" i="11" s="1"/>
  <c r="I22" i="11"/>
  <c r="I23" i="11" s="1"/>
  <c r="G22" i="11"/>
  <c r="G23" i="11" s="1"/>
  <c r="J15" i="11"/>
  <c r="J16" i="11" s="1"/>
  <c r="I15" i="11"/>
  <c r="I16" i="11" s="1"/>
  <c r="H15" i="11"/>
  <c r="G15" i="11"/>
  <c r="G16" i="11" s="1"/>
  <c r="C15" i="10"/>
  <c r="C16" i="10" s="1"/>
  <c r="F22" i="11" l="1"/>
  <c r="F23" i="11" s="1"/>
  <c r="E15" i="11"/>
  <c r="E16" i="11" s="1"/>
  <c r="F15" i="11"/>
  <c r="F16" i="11" s="1"/>
  <c r="E22" i="11"/>
  <c r="E23" i="11" s="1"/>
  <c r="J24" i="11"/>
  <c r="J25" i="11" s="1"/>
  <c r="H24" i="11"/>
  <c r="H25" i="11" s="1"/>
  <c r="H16" i="11"/>
  <c r="I24" i="11"/>
  <c r="I25" i="11" s="1"/>
  <c r="G24" i="11"/>
  <c r="G25" i="11" s="1"/>
  <c r="I22" i="10"/>
  <c r="I23" i="10" s="1"/>
  <c r="F15" i="10"/>
  <c r="F16" i="10" s="1"/>
  <c r="H22" i="10"/>
  <c r="H23" i="10" s="1"/>
  <c r="I15" i="10"/>
  <c r="I16" i="10" s="1"/>
  <c r="J15" i="10"/>
  <c r="J16" i="10" s="1"/>
  <c r="J22" i="10"/>
  <c r="J23" i="10" s="1"/>
  <c r="D22" i="11"/>
  <c r="D23" i="11" s="1"/>
  <c r="C22" i="11"/>
  <c r="C23" i="11" s="1"/>
  <c r="G22" i="10"/>
  <c r="G23" i="10" s="1"/>
  <c r="H15" i="10"/>
  <c r="H16" i="10" s="1"/>
  <c r="D22" i="10"/>
  <c r="D23" i="10" s="1"/>
  <c r="E15" i="10"/>
  <c r="E16" i="10" s="1"/>
  <c r="F22" i="10"/>
  <c r="F23" i="10" s="1"/>
  <c r="G15" i="10"/>
  <c r="G16" i="10" s="1"/>
  <c r="C22" i="10"/>
  <c r="C23" i="10" s="1"/>
  <c r="D15" i="10"/>
  <c r="E22" i="10"/>
  <c r="E23" i="10" s="1"/>
  <c r="N20" i="6"/>
  <c r="N19" i="6"/>
  <c r="N18" i="6"/>
  <c r="N17" i="6"/>
  <c r="N13" i="6"/>
  <c r="N12" i="6"/>
  <c r="N9" i="6"/>
  <c r="N8" i="6"/>
  <c r="M14" i="6"/>
  <c r="M15" i="6" s="1"/>
  <c r="M21" i="6"/>
  <c r="M22" i="6" s="1"/>
  <c r="K7" i="6"/>
  <c r="K20" i="6"/>
  <c r="K17" i="6"/>
  <c r="K12" i="6"/>
  <c r="K10" i="6"/>
  <c r="K9" i="6"/>
  <c r="K8" i="6"/>
  <c r="J21" i="6"/>
  <c r="J22" i="6" s="1"/>
  <c r="H20" i="6"/>
  <c r="H19" i="6"/>
  <c r="H17" i="6"/>
  <c r="H13" i="6"/>
  <c r="H12" i="6"/>
  <c r="H11" i="6"/>
  <c r="H10" i="6"/>
  <c r="H9" i="6"/>
  <c r="H8" i="6"/>
  <c r="H7" i="6"/>
  <c r="G14" i="6"/>
  <c r="G21" i="6"/>
  <c r="G22" i="6" s="1"/>
  <c r="E20" i="6"/>
  <c r="E19" i="6"/>
  <c r="E18" i="6"/>
  <c r="E17" i="6"/>
  <c r="E13" i="6"/>
  <c r="E12" i="6"/>
  <c r="E11" i="6"/>
  <c r="E10" i="6"/>
  <c r="E9" i="6"/>
  <c r="E8" i="6"/>
  <c r="E7" i="6"/>
  <c r="D14" i="6"/>
  <c r="D15" i="6" s="1"/>
  <c r="D21" i="6"/>
  <c r="D22" i="6" s="1"/>
  <c r="C24" i="10" l="1"/>
  <c r="C25" i="10" s="1"/>
  <c r="D23" i="6"/>
  <c r="D24" i="6" s="1"/>
  <c r="F24" i="11"/>
  <c r="F25" i="11" s="1"/>
  <c r="C24" i="11"/>
  <c r="C25" i="11" s="1"/>
  <c r="E24" i="11"/>
  <c r="E25" i="11" s="1"/>
  <c r="D24" i="11"/>
  <c r="D25" i="11" s="1"/>
  <c r="I24" i="10"/>
  <c r="I25" i="10" s="1"/>
  <c r="H24" i="10"/>
  <c r="H25" i="10" s="1"/>
  <c r="D24" i="10"/>
  <c r="D25" i="10" s="1"/>
  <c r="E24" i="10"/>
  <c r="E25" i="10" s="1"/>
  <c r="M23" i="6"/>
  <c r="M24" i="6" s="1"/>
  <c r="G23" i="6"/>
  <c r="G24" i="6" s="1"/>
  <c r="J24" i="10"/>
  <c r="J25" i="10" s="1"/>
  <c r="D16" i="10"/>
  <c r="N21" i="6"/>
  <c r="N22" i="6" s="1"/>
  <c r="N14" i="6"/>
  <c r="N15" i="6" s="1"/>
  <c r="K21" i="6"/>
  <c r="K22" i="6" s="1"/>
  <c r="K14" i="6"/>
  <c r="K15" i="6" s="1"/>
  <c r="H21" i="6"/>
  <c r="H22" i="6" s="1"/>
  <c r="H14" i="6"/>
  <c r="E21" i="6"/>
  <c r="E22" i="6" s="1"/>
  <c r="E14" i="6"/>
  <c r="E15" i="6" s="1"/>
  <c r="G15" i="6"/>
  <c r="G24" i="10"/>
  <c r="G25" i="10" s="1"/>
  <c r="F24" i="10"/>
  <c r="F25" i="10" s="1"/>
  <c r="J14" i="6"/>
  <c r="J15" i="6" s="1"/>
  <c r="J15" i="9"/>
  <c r="J16" i="9" s="1"/>
  <c r="J22" i="9"/>
  <c r="J23" i="9" s="1"/>
  <c r="F22" i="9"/>
  <c r="F23" i="9" s="1"/>
  <c r="F15" i="9"/>
  <c r="F16" i="9" s="1"/>
  <c r="L21" i="6"/>
  <c r="L22" i="6" s="1"/>
  <c r="L14" i="6"/>
  <c r="L15" i="6" s="1"/>
  <c r="I15" i="9"/>
  <c r="I16" i="9" s="1"/>
  <c r="I22" i="9"/>
  <c r="I23" i="9" s="1"/>
  <c r="E22" i="9"/>
  <c r="E23" i="9" s="1"/>
  <c r="E15" i="9"/>
  <c r="E16" i="9" s="1"/>
  <c r="I21" i="6"/>
  <c r="I22" i="6" s="1"/>
  <c r="I14" i="6"/>
  <c r="I15" i="6" s="1"/>
  <c r="H23" i="9"/>
  <c r="H15" i="9"/>
  <c r="D15" i="9"/>
  <c r="D16" i="9" s="1"/>
  <c r="D22" i="9"/>
  <c r="D23" i="9" s="1"/>
  <c r="F21" i="6"/>
  <c r="F22" i="6" s="1"/>
  <c r="F14" i="6"/>
  <c r="F15" i="6" s="1"/>
  <c r="G22" i="9"/>
  <c r="G23" i="9" s="1"/>
  <c r="G15" i="9"/>
  <c r="G16" i="9" s="1"/>
  <c r="C22" i="9"/>
  <c r="C23" i="9" s="1"/>
  <c r="C15" i="9"/>
  <c r="C16" i="9" s="1"/>
  <c r="H23" i="6" l="1"/>
  <c r="H24" i="6" s="1"/>
  <c r="C24" i="9"/>
  <c r="C25" i="9" s="1"/>
  <c r="G24" i="9"/>
  <c r="G25" i="9" s="1"/>
  <c r="E23" i="6"/>
  <c r="E24" i="6" s="1"/>
  <c r="I23" i="6"/>
  <c r="I24" i="6" s="1"/>
  <c r="N23" i="6"/>
  <c r="N24" i="6" s="1"/>
  <c r="H15" i="6"/>
  <c r="F24" i="9"/>
  <c r="F25" i="9" s="1"/>
  <c r="L23" i="6"/>
  <c r="L24" i="6" s="1"/>
  <c r="I24" i="9"/>
  <c r="I25" i="9" s="1"/>
  <c r="E24" i="9"/>
  <c r="E25" i="9" s="1"/>
  <c r="H24" i="9"/>
  <c r="H25" i="9" s="1"/>
  <c r="H16" i="9"/>
  <c r="D24" i="9"/>
  <c r="D25" i="9" s="1"/>
  <c r="F23" i="6"/>
  <c r="F24" i="6" s="1"/>
  <c r="J23" i="6"/>
  <c r="J24" i="6" s="1"/>
  <c r="J24" i="9"/>
  <c r="J25" i="9" s="1"/>
  <c r="C21" i="6"/>
  <c r="C22" i="6" s="1"/>
  <c r="C14" i="6"/>
  <c r="C15" i="6" s="1"/>
  <c r="C23" i="6" l="1"/>
  <c r="C24" i="6" s="1"/>
  <c r="K23" i="6"/>
  <c r="K24" i="6" s="1"/>
  <c r="F21" i="12"/>
  <c r="F22" i="12" s="1"/>
  <c r="F14" i="12"/>
  <c r="F15" i="12" s="1"/>
  <c r="E21" i="12"/>
  <c r="E22" i="12" s="1"/>
  <c r="E14" i="12"/>
  <c r="E15" i="12" s="1"/>
  <c r="P14" i="12"/>
  <c r="P21" i="12"/>
  <c r="P22" i="12" s="1"/>
  <c r="D14" i="12"/>
  <c r="D15" i="12" s="1"/>
  <c r="D21" i="12"/>
  <c r="D22" i="12" s="1"/>
  <c r="O14" i="12"/>
  <c r="O15" i="12" s="1"/>
  <c r="O21" i="12"/>
  <c r="O22" i="12" s="1"/>
  <c r="C21" i="12"/>
  <c r="C22" i="12" s="1"/>
  <c r="C14" i="12"/>
  <c r="C15" i="12" s="1"/>
  <c r="F23" i="12" l="1"/>
  <c r="F24" i="12" s="1"/>
  <c r="P23" i="12"/>
  <c r="P24" i="12" s="1"/>
  <c r="P15" i="12"/>
  <c r="D23" i="12"/>
  <c r="D24" i="12" s="1"/>
  <c r="O23" i="12"/>
  <c r="O24" i="12" s="1"/>
  <c r="C23" i="12"/>
  <c r="C24" i="12" s="1"/>
  <c r="E23" i="12"/>
  <c r="E24" i="12" s="1"/>
  <c r="Q21" i="4"/>
  <c r="Q20" i="4"/>
  <c r="Q19" i="4"/>
  <c r="Q18" i="4"/>
  <c r="Q14" i="4"/>
  <c r="Q13" i="4"/>
  <c r="Q10" i="4"/>
  <c r="Q9" i="4"/>
  <c r="N21" i="5"/>
  <c r="N20" i="5"/>
  <c r="N19" i="5"/>
  <c r="N18" i="5"/>
  <c r="N14" i="5"/>
  <c r="N13" i="5"/>
  <c r="N10" i="5"/>
  <c r="N9" i="5"/>
  <c r="L15" i="5"/>
  <c r="L16" i="5" s="1"/>
  <c r="M15" i="5"/>
  <c r="M16" i="5" s="1"/>
  <c r="M22" i="5"/>
  <c r="M23" i="5" s="1"/>
  <c r="P22" i="4"/>
  <c r="P23" i="4" s="1"/>
  <c r="P15" i="4"/>
  <c r="P16" i="4" s="1"/>
  <c r="K21" i="5"/>
  <c r="K18" i="5"/>
  <c r="K13" i="5"/>
  <c r="K11" i="5"/>
  <c r="K10" i="5"/>
  <c r="K9" i="5"/>
  <c r="I15" i="5"/>
  <c r="I16" i="5" s="1"/>
  <c r="O22" i="4"/>
  <c r="O23" i="4" s="1"/>
  <c r="O15" i="4"/>
  <c r="O16" i="4" s="1"/>
  <c r="L22" i="5"/>
  <c r="L23" i="5" s="1"/>
  <c r="N21" i="4"/>
  <c r="N18" i="4"/>
  <c r="N13" i="4"/>
  <c r="N11" i="4"/>
  <c r="N10" i="4"/>
  <c r="N9" i="4"/>
  <c r="J22" i="5"/>
  <c r="J23" i="5" s="1"/>
  <c r="J15" i="5"/>
  <c r="J16" i="5" s="1"/>
  <c r="M15" i="4"/>
  <c r="M16" i="4" s="1"/>
  <c r="L22" i="4"/>
  <c r="L23" i="4" s="1"/>
  <c r="I22" i="5"/>
  <c r="I23" i="5" s="1"/>
  <c r="N8" i="4"/>
  <c r="H21" i="5"/>
  <c r="H20" i="5"/>
  <c r="H19" i="5"/>
  <c r="H18" i="5"/>
  <c r="H13" i="5"/>
  <c r="H12" i="5"/>
  <c r="H11" i="5"/>
  <c r="H10" i="5"/>
  <c r="H9" i="5"/>
  <c r="H8" i="5"/>
  <c r="K21" i="4"/>
  <c r="K20" i="4"/>
  <c r="K19" i="4"/>
  <c r="K18" i="4"/>
  <c r="K14" i="4"/>
  <c r="K13" i="4"/>
  <c r="K12" i="4"/>
  <c r="K11" i="4"/>
  <c r="K10" i="4"/>
  <c r="K9" i="4"/>
  <c r="K8" i="4"/>
  <c r="G15" i="5"/>
  <c r="G16" i="5" s="1"/>
  <c r="G22" i="5"/>
  <c r="G23" i="5" s="1"/>
  <c r="J15" i="4"/>
  <c r="J16" i="4" s="1"/>
  <c r="J22" i="4"/>
  <c r="J23" i="4" s="1"/>
  <c r="F15" i="5"/>
  <c r="F16" i="5" s="1"/>
  <c r="F22" i="5"/>
  <c r="F23" i="5" s="1"/>
  <c r="I15" i="4"/>
  <c r="I16" i="4" s="1"/>
  <c r="I22" i="4"/>
  <c r="I23" i="4" s="1"/>
  <c r="D15" i="5"/>
  <c r="D16" i="5" s="1"/>
  <c r="F15" i="4"/>
  <c r="F16" i="4" s="1"/>
  <c r="E21" i="5"/>
  <c r="E20" i="5"/>
  <c r="E19" i="5"/>
  <c r="E18" i="5"/>
  <c r="E14" i="5"/>
  <c r="E13" i="5"/>
  <c r="E12" i="5"/>
  <c r="E11" i="5"/>
  <c r="E10" i="5"/>
  <c r="E9" i="5"/>
  <c r="D22" i="5"/>
  <c r="D23" i="5" s="1"/>
  <c r="C22" i="5"/>
  <c r="C23" i="5" s="1"/>
  <c r="E21" i="4"/>
  <c r="E19" i="4"/>
  <c r="E18" i="4"/>
  <c r="E14" i="4"/>
  <c r="E13" i="4"/>
  <c r="E12" i="4"/>
  <c r="E11" i="4"/>
  <c r="E10" i="4"/>
  <c r="E9" i="4"/>
  <c r="E8" i="4"/>
  <c r="G21" i="4"/>
  <c r="H21" i="4" s="1"/>
  <c r="G20" i="4"/>
  <c r="H20" i="4" s="1"/>
  <c r="G19" i="4"/>
  <c r="H19" i="4" s="1"/>
  <c r="G18" i="4"/>
  <c r="H18" i="4" s="1"/>
  <c r="G14" i="4"/>
  <c r="H14" i="4" s="1"/>
  <c r="G13" i="4"/>
  <c r="H13" i="4" s="1"/>
  <c r="G12" i="4"/>
  <c r="H12" i="4" s="1"/>
  <c r="G11" i="4"/>
  <c r="H11" i="4" s="1"/>
  <c r="G10" i="4"/>
  <c r="H10" i="4" s="1"/>
  <c r="G9" i="4"/>
  <c r="H9" i="4" s="1"/>
  <c r="F22" i="4"/>
  <c r="F23" i="4" s="1"/>
  <c r="D15" i="4"/>
  <c r="D16" i="4" s="1"/>
  <c r="D22" i="4"/>
  <c r="D23" i="4" s="1"/>
  <c r="C15" i="4"/>
  <c r="C16" i="4" s="1"/>
  <c r="C22" i="4"/>
  <c r="C23" i="4" s="1"/>
  <c r="K22" i="5" l="1"/>
  <c r="K23" i="5" s="1"/>
  <c r="L24" i="5"/>
  <c r="L25" i="5" s="1"/>
  <c r="F24" i="5"/>
  <c r="F25" i="5" s="1"/>
  <c r="J24" i="5"/>
  <c r="J25" i="5" s="1"/>
  <c r="D24" i="5"/>
  <c r="D25" i="5" s="1"/>
  <c r="Q22" i="4"/>
  <c r="Q23" i="4" s="1"/>
  <c r="O24" i="4"/>
  <c r="O25" i="4" s="1"/>
  <c r="Q15" i="4"/>
  <c r="Q16" i="4" s="1"/>
  <c r="G8" i="4"/>
  <c r="G15" i="4" s="1"/>
  <c r="G16" i="4" s="1"/>
  <c r="I24" i="4"/>
  <c r="I25" i="4" s="1"/>
  <c r="K22" i="4"/>
  <c r="K23" i="4" s="1"/>
  <c r="J24" i="4"/>
  <c r="J25" i="4" s="1"/>
  <c r="L15" i="4"/>
  <c r="L16" i="4" s="1"/>
  <c r="N15" i="4"/>
  <c r="N16" i="4" s="1"/>
  <c r="M24" i="4"/>
  <c r="M25" i="4" s="1"/>
  <c r="N22" i="4"/>
  <c r="N23" i="4" s="1"/>
  <c r="K15" i="4"/>
  <c r="I24" i="5"/>
  <c r="I25" i="5" s="1"/>
  <c r="N15" i="5"/>
  <c r="N16" i="5" s="1"/>
  <c r="N22" i="5"/>
  <c r="N23" i="5" s="1"/>
  <c r="E22" i="5"/>
  <c r="E23" i="5" s="1"/>
  <c r="H15" i="5"/>
  <c r="H16" i="5" s="1"/>
  <c r="G24" i="5"/>
  <c r="G25" i="5" s="1"/>
  <c r="H22" i="5"/>
  <c r="H23" i="5" s="1"/>
  <c r="H22" i="4"/>
  <c r="H23" i="4" s="1"/>
  <c r="D24" i="4"/>
  <c r="D25" i="4" s="1"/>
  <c r="P24" i="4"/>
  <c r="P25" i="4" s="1"/>
  <c r="F24" i="4"/>
  <c r="F25" i="4" s="1"/>
  <c r="E22" i="4"/>
  <c r="E23" i="4" s="1"/>
  <c r="C24" i="4"/>
  <c r="C25" i="4" s="1"/>
  <c r="G22" i="4"/>
  <c r="G23" i="4" s="1"/>
  <c r="E15" i="4"/>
  <c r="E16" i="4" s="1"/>
  <c r="M24" i="5"/>
  <c r="M25" i="5" s="1"/>
  <c r="K8" i="5"/>
  <c r="K15" i="5" s="1"/>
  <c r="K16" i="5" s="1"/>
  <c r="E8" i="5"/>
  <c r="E15" i="5" s="1"/>
  <c r="E16" i="5" s="1"/>
  <c r="C15" i="5"/>
  <c r="C16" i="5" s="1"/>
  <c r="H8" i="4" l="1"/>
  <c r="H15" i="4" s="1"/>
  <c r="H16" i="4" s="1"/>
  <c r="C24" i="5"/>
  <c r="C25" i="5" s="1"/>
  <c r="K24" i="5"/>
  <c r="K25" i="5" s="1"/>
  <c r="E24" i="5"/>
  <c r="E25" i="5" s="1"/>
  <c r="Q24" i="4"/>
  <c r="Q25" i="4" s="1"/>
  <c r="L24" i="4"/>
  <c r="L25" i="4" s="1"/>
  <c r="K24" i="4"/>
  <c r="K25" i="4" s="1"/>
  <c r="K16" i="4"/>
  <c r="G24" i="4"/>
  <c r="G25" i="4" s="1"/>
  <c r="E24" i="4"/>
  <c r="E25" i="4" s="1"/>
  <c r="N24" i="4"/>
  <c r="N25" i="4" s="1"/>
  <c r="N24" i="5"/>
  <c r="N25" i="5" s="1"/>
  <c r="H24" i="5"/>
  <c r="H25" i="5" s="1"/>
  <c r="R23" i="3"/>
  <c r="R24" i="3" s="1"/>
  <c r="R16" i="3"/>
  <c r="R17" i="3" s="1"/>
  <c r="Q23" i="3"/>
  <c r="Q24" i="3" s="1"/>
  <c r="Q16" i="3"/>
  <c r="O16" i="3"/>
  <c r="O17" i="3" s="1"/>
  <c r="J21" i="3"/>
  <c r="J22" i="3"/>
  <c r="J19" i="3"/>
  <c r="J15" i="3"/>
  <c r="J14" i="3"/>
  <c r="J13" i="3"/>
  <c r="J12" i="3"/>
  <c r="J11" i="3"/>
  <c r="J10" i="3"/>
  <c r="J9" i="3"/>
  <c r="I23" i="3"/>
  <c r="I24" i="3" s="1"/>
  <c r="I16" i="3"/>
  <c r="N22" i="3"/>
  <c r="N19" i="3"/>
  <c r="N14" i="3"/>
  <c r="N12" i="3"/>
  <c r="N10" i="3"/>
  <c r="K23" i="3"/>
  <c r="K24" i="3" s="1"/>
  <c r="K16" i="3"/>
  <c r="K17" i="3" s="1"/>
  <c r="N9" i="3"/>
  <c r="M23" i="3"/>
  <c r="M24" i="3" s="1"/>
  <c r="G23" i="3"/>
  <c r="G24" i="3" s="1"/>
  <c r="G16" i="3"/>
  <c r="G17" i="3" s="1"/>
  <c r="Q25" i="3" l="1"/>
  <c r="Q26" i="3" s="1"/>
  <c r="Q17" i="3"/>
  <c r="H24" i="4"/>
  <c r="H25" i="4" s="1"/>
  <c r="G25" i="3"/>
  <c r="G26" i="3" s="1"/>
  <c r="P16" i="3"/>
  <c r="P17" i="3" s="1"/>
  <c r="P23" i="3"/>
  <c r="P24" i="3" s="1"/>
  <c r="N16" i="3"/>
  <c r="N17" i="3" s="1"/>
  <c r="L16" i="3"/>
  <c r="L17" i="3" s="1"/>
  <c r="L23" i="3"/>
  <c r="L24" i="3" s="1"/>
  <c r="N23" i="3"/>
  <c r="N24" i="3" s="1"/>
  <c r="K25" i="3"/>
  <c r="K26" i="3" s="1"/>
  <c r="H23" i="3"/>
  <c r="H24" i="3" s="1"/>
  <c r="H16" i="3"/>
  <c r="H17" i="3" s="1"/>
  <c r="I25" i="3"/>
  <c r="I26" i="3" s="1"/>
  <c r="J23" i="3"/>
  <c r="J24" i="3" s="1"/>
  <c r="I17" i="3"/>
  <c r="J16" i="3"/>
  <c r="R25" i="3"/>
  <c r="R26" i="3" s="1"/>
  <c r="M16" i="3"/>
  <c r="M17" i="3" s="1"/>
  <c r="O25" i="3"/>
  <c r="O26" i="3" s="1"/>
  <c r="L25" i="3" l="1"/>
  <c r="L26" i="3" s="1"/>
  <c r="N25" i="3"/>
  <c r="N26" i="3" s="1"/>
  <c r="P25" i="3"/>
  <c r="P26" i="3" s="1"/>
  <c r="J25" i="3"/>
  <c r="J26" i="3" s="1"/>
  <c r="H25" i="3"/>
  <c r="H26" i="3" s="1"/>
  <c r="J17" i="3"/>
  <c r="M25" i="3"/>
  <c r="M26" i="3" s="1"/>
  <c r="D16" i="3" l="1"/>
  <c r="D17" i="3" s="1"/>
  <c r="D23" i="3"/>
  <c r="D24" i="3" s="1"/>
  <c r="F22" i="3"/>
  <c r="F21" i="3"/>
  <c r="F20" i="3"/>
  <c r="F19" i="3"/>
  <c r="F15" i="3"/>
  <c r="F14" i="3"/>
  <c r="F13" i="3"/>
  <c r="F12" i="3"/>
  <c r="F11" i="3"/>
  <c r="F10" i="3"/>
  <c r="F9" i="3"/>
  <c r="E23" i="3"/>
  <c r="E24" i="3" s="1"/>
  <c r="E16" i="3"/>
  <c r="E17" i="3" s="1"/>
  <c r="C23" i="3"/>
  <c r="C24" i="3" s="1"/>
  <c r="C16" i="3"/>
  <c r="C17" i="3" s="1"/>
  <c r="E25" i="3" l="1"/>
  <c r="E26" i="3" s="1"/>
  <c r="F23" i="3"/>
  <c r="F24" i="3" s="1"/>
  <c r="D25" i="3"/>
  <c r="D26" i="3" s="1"/>
  <c r="F16" i="3"/>
  <c r="F17" i="3" s="1"/>
  <c r="C25" i="3"/>
  <c r="C26" i="3" s="1"/>
  <c r="F25" i="3" l="1"/>
  <c r="F26" i="3" s="1"/>
  <c r="O22" i="1" l="1"/>
  <c r="O23" i="1" s="1"/>
  <c r="O15" i="1"/>
  <c r="O16" i="1" s="1"/>
  <c r="M19" i="1"/>
  <c r="N15" i="1" l="1"/>
  <c r="N16" i="1" s="1"/>
  <c r="N22" i="1"/>
  <c r="N23" i="1" s="1"/>
  <c r="O24" i="1"/>
  <c r="O25" i="1" s="1"/>
  <c r="M21" i="1"/>
  <c r="M20" i="1"/>
  <c r="M18" i="1"/>
  <c r="L21" i="1"/>
  <c r="L18" i="1"/>
  <c r="M14" i="1"/>
  <c r="M13" i="1"/>
  <c r="M10" i="1"/>
  <c r="L11" i="1"/>
  <c r="L10" i="1"/>
  <c r="L9" i="1"/>
  <c r="K20" i="1"/>
  <c r="K19" i="1"/>
  <c r="L22" i="1" l="1"/>
  <c r="L23" i="1" s="1"/>
  <c r="M15" i="1"/>
  <c r="M16" i="1" s="1"/>
  <c r="K22" i="1"/>
  <c r="K23" i="1" s="1"/>
  <c r="L15" i="1"/>
  <c r="L16" i="1" s="1"/>
  <c r="N24" i="1"/>
  <c r="N25" i="1" s="1"/>
  <c r="M22" i="1"/>
  <c r="M23" i="1" s="1"/>
  <c r="K14" i="1"/>
  <c r="K12" i="1"/>
  <c r="K11" i="1"/>
  <c r="K10" i="1"/>
  <c r="K8" i="1"/>
  <c r="M24" i="1" l="1"/>
  <c r="M25" i="1" s="1"/>
  <c r="K15" i="1"/>
  <c r="K16" i="1" s="1"/>
  <c r="L24" i="1"/>
  <c r="L25" i="1" s="1"/>
  <c r="K24" i="1" l="1"/>
  <c r="K25" i="1" s="1"/>
  <c r="J22" i="1"/>
  <c r="J23" i="1" s="1"/>
  <c r="H22" i="1"/>
  <c r="H23" i="1" s="1"/>
  <c r="I15" i="1" l="1"/>
  <c r="I16" i="1" s="1"/>
  <c r="H24" i="1"/>
  <c r="H25" i="1" s="1"/>
  <c r="I22" i="1"/>
  <c r="I23" i="1" s="1"/>
  <c r="G22" i="1"/>
  <c r="G23" i="1" s="1"/>
  <c r="J15" i="1"/>
  <c r="J16" i="1" s="1"/>
  <c r="H16" i="1" l="1"/>
  <c r="I24" i="1"/>
  <c r="I25" i="1" s="1"/>
  <c r="G15" i="1"/>
  <c r="G16" i="1" s="1"/>
  <c r="J24" i="1"/>
  <c r="J25" i="1" s="1"/>
  <c r="F22" i="1"/>
  <c r="F23" i="1" s="1"/>
  <c r="E22" i="1"/>
  <c r="E23" i="1" s="1"/>
  <c r="D22" i="1"/>
  <c r="D23" i="1" s="1"/>
  <c r="G24" i="1" l="1"/>
  <c r="D15" i="1"/>
  <c r="D16" i="1" s="1"/>
  <c r="F15" i="1"/>
  <c r="F16" i="1" s="1"/>
  <c r="E15" i="1"/>
  <c r="E16" i="1" s="1"/>
  <c r="D24" i="1" l="1"/>
  <c r="D25" i="1" s="1"/>
  <c r="F24" i="1"/>
  <c r="F25" i="1" s="1"/>
  <c r="E24" i="1"/>
  <c r="E25" i="1" s="1"/>
  <c r="C22" i="1"/>
  <c r="C23" i="1" s="1"/>
  <c r="C15" i="1"/>
  <c r="C16" i="1" s="1"/>
  <c r="C24" i="1" l="1"/>
  <c r="C25" i="1" s="1"/>
  <c r="V20" i="2"/>
  <c r="V19" i="2"/>
  <c r="V18" i="2"/>
  <c r="V13" i="2"/>
  <c r="V9" i="2"/>
  <c r="U22" i="2"/>
  <c r="U23" i="2" s="1"/>
  <c r="T22" i="2"/>
  <c r="T23" i="2" s="1"/>
  <c r="S22" i="2"/>
  <c r="S23" i="2" s="1"/>
  <c r="R22" i="2"/>
  <c r="R23" i="2" s="1"/>
  <c r="U15" i="2"/>
  <c r="T15" i="2"/>
  <c r="T16" i="2" s="1"/>
  <c r="S15" i="2"/>
  <c r="S16" i="2" s="1"/>
  <c r="R15" i="2"/>
  <c r="R16" i="2" s="1"/>
  <c r="Q18" i="2"/>
  <c r="Q13" i="2"/>
  <c r="Q11" i="2"/>
  <c r="Q9" i="2"/>
  <c r="Q8" i="2"/>
  <c r="P22" i="2"/>
  <c r="P23" i="2" s="1"/>
  <c r="O22" i="2"/>
  <c r="O23" i="2" s="1"/>
  <c r="N22" i="2"/>
  <c r="N23" i="2" s="1"/>
  <c r="M22" i="2"/>
  <c r="M23" i="2" s="1"/>
  <c r="P15" i="2"/>
  <c r="P16" i="2" s="1"/>
  <c r="O15" i="2"/>
  <c r="O16" i="2" s="1"/>
  <c r="N15" i="2"/>
  <c r="N16" i="2" s="1"/>
  <c r="M15" i="2"/>
  <c r="M16" i="2" s="1"/>
  <c r="L21" i="2"/>
  <c r="L20" i="2"/>
  <c r="L19" i="2"/>
  <c r="L18" i="2"/>
  <c r="L14" i="2"/>
  <c r="L13" i="2"/>
  <c r="L12" i="2"/>
  <c r="L11" i="2"/>
  <c r="L10" i="2"/>
  <c r="L9" i="2"/>
  <c r="L8" i="2"/>
  <c r="K22" i="2"/>
  <c r="K23" i="2" s="1"/>
  <c r="J22" i="2"/>
  <c r="J23" i="2" s="1"/>
  <c r="I22" i="2"/>
  <c r="I23" i="2" s="1"/>
  <c r="H22" i="2"/>
  <c r="H23" i="2" s="1"/>
  <c r="K15" i="2"/>
  <c r="K16" i="2" s="1"/>
  <c r="J15" i="2"/>
  <c r="J16" i="2" s="1"/>
  <c r="I15" i="2"/>
  <c r="I16" i="2" s="1"/>
  <c r="H15" i="2"/>
  <c r="H16" i="2" s="1"/>
  <c r="G21" i="2"/>
  <c r="G20" i="2"/>
  <c r="G19" i="2"/>
  <c r="G18" i="2"/>
  <c r="G14" i="2"/>
  <c r="G13" i="2"/>
  <c r="G12" i="2"/>
  <c r="G11" i="2"/>
  <c r="G10" i="2"/>
  <c r="G9" i="2"/>
  <c r="G8" i="2"/>
  <c r="F22" i="2"/>
  <c r="F23" i="2" s="1"/>
  <c r="E22" i="2"/>
  <c r="E23" i="2" s="1"/>
  <c r="F15" i="2"/>
  <c r="F16" i="2" s="1"/>
  <c r="E15" i="2"/>
  <c r="E16" i="2" s="1"/>
  <c r="D22" i="2"/>
  <c r="D23" i="2" s="1"/>
  <c r="D15" i="2"/>
  <c r="D16" i="2" s="1"/>
  <c r="C22" i="2"/>
  <c r="C23" i="2" s="1"/>
  <c r="C15" i="2"/>
  <c r="C16" i="2" s="1"/>
  <c r="U24" i="2" l="1"/>
  <c r="U25" i="2" s="1"/>
  <c r="U16" i="2"/>
  <c r="N24" i="2"/>
  <c r="N25" i="2" s="1"/>
  <c r="F24" i="2"/>
  <c r="F25" i="2" s="1"/>
  <c r="Q22" i="2"/>
  <c r="Q23" i="2" s="1"/>
  <c r="T24" i="2"/>
  <c r="T25" i="2" s="1"/>
  <c r="S24" i="2"/>
  <c r="S25" i="2" s="1"/>
  <c r="V22" i="2"/>
  <c r="V23" i="2" s="1"/>
  <c r="V15" i="2"/>
  <c r="V16" i="2" s="1"/>
  <c r="R24" i="2"/>
  <c r="R25" i="2" s="1"/>
  <c r="O24" i="2"/>
  <c r="O25" i="2" s="1"/>
  <c r="Q15" i="2"/>
  <c r="Q16" i="2" s="1"/>
  <c r="L22" i="2"/>
  <c r="L23" i="2" s="1"/>
  <c r="I24" i="2"/>
  <c r="I25" i="2" s="1"/>
  <c r="J24" i="2"/>
  <c r="J25" i="2" s="1"/>
  <c r="H24" i="2"/>
  <c r="H25" i="2" s="1"/>
  <c r="G22" i="2"/>
  <c r="G23" i="2" s="1"/>
  <c r="D24" i="2"/>
  <c r="D25" i="2" s="1"/>
  <c r="K24" i="2"/>
  <c r="K25" i="2" s="1"/>
  <c r="L15" i="2"/>
  <c r="G15" i="2"/>
  <c r="G16" i="2" s="1"/>
  <c r="P24" i="2"/>
  <c r="P25" i="2" s="1"/>
  <c r="M24" i="2"/>
  <c r="M25" i="2" s="1"/>
  <c r="C24" i="2"/>
  <c r="C25" i="2" s="1"/>
  <c r="E24" i="2"/>
  <c r="E25" i="2" s="1"/>
  <c r="V24" i="2" l="1"/>
  <c r="V25" i="2" s="1"/>
  <c r="G24" i="2"/>
  <c r="G25" i="2" s="1"/>
  <c r="Q24" i="2"/>
  <c r="Q25" i="2" s="1"/>
  <c r="L16" i="2"/>
  <c r="L24" i="2"/>
  <c r="L25" i="2" s="1"/>
  <c r="F15" i="7"/>
  <c r="F24" i="7" s="1"/>
  <c r="F25" i="7" s="1"/>
  <c r="F16" i="7" l="1"/>
</calcChain>
</file>

<file path=xl/sharedStrings.xml><?xml version="1.0" encoding="utf-8"?>
<sst xmlns="http://schemas.openxmlformats.org/spreadsheetml/2006/main" count="1127" uniqueCount="108">
  <si>
    <t>Eil. Nr.</t>
  </si>
  <si>
    <t>Savivaldybių viešosios bibliotekos</t>
  </si>
  <si>
    <t>Iš viso SVB</t>
  </si>
  <si>
    <t>VB</t>
  </si>
  <si>
    <t>MF</t>
  </si>
  <si>
    <t>KF</t>
  </si>
  <si>
    <t>SVB</t>
  </si>
  <si>
    <t>I. Klaipėdos apskritis</t>
  </si>
  <si>
    <t>1.</t>
  </si>
  <si>
    <t>Klaipėdos m.</t>
  </si>
  <si>
    <t>0*</t>
  </si>
  <si>
    <t>x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</si>
  <si>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</si>
  <si>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</si>
  <si>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</si>
  <si>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</si>
  <si>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</si>
  <si>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</si>
  <si>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</si>
  <si>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</si>
  <si>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</si>
  <si>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</si>
  <si>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</si>
  <si>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</si>
  <si>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</si>
  <si>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</si>
  <si>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</si>
  <si>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</si>
  <si>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</si>
  <si>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</si>
  <si>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Iš viso:</t>
  </si>
  <si>
    <t>Vidutiniškai vienoje bibliotekoje Klaipėdos ir Tauragės apskrityse:</t>
  </si>
  <si>
    <t>Vidutiniškai vienoje bibliotekoje:</t>
  </si>
  <si>
    <t>Vartotojų sk. vienam gyventojui</t>
  </si>
  <si>
    <t>Biblioteki-ninkų sk. 1000 vartotojų</t>
  </si>
  <si>
    <t>Vidut. gyvent. sk. vienai bibliotekai</t>
  </si>
  <si>
    <t>Skirtu-mas</t>
  </si>
  <si>
    <t>Iš viso</t>
  </si>
  <si>
    <t>Perreg.</t>
  </si>
  <si>
    <t>Nauji</t>
  </si>
  <si>
    <t>* VB ir MF veikia vienoje teritorijoje</t>
  </si>
  <si>
    <t>Gyventojų skaičius bibliotekų aptarnaujamose teritorijose</t>
  </si>
  <si>
    <t>skaičius</t>
  </si>
  <si>
    <t>%</t>
  </si>
  <si>
    <t>skirtumas</t>
  </si>
  <si>
    <t>Miesto fil.</t>
  </si>
  <si>
    <t>Kaimo fil.</t>
  </si>
  <si>
    <t>SVB tinklo bibliotekose</t>
  </si>
  <si>
    <t>Apsilankymų (fizinių) sk. vienam gyventojui</t>
  </si>
  <si>
    <t>Skirtumas</t>
  </si>
  <si>
    <t>Fiz. vnt.</t>
  </si>
  <si>
    <t>Grožinės literatūros išduotis</t>
  </si>
  <si>
    <t>Šakinės literatūros išduotis</t>
  </si>
  <si>
    <t>Periodinių leidinių išduotis</t>
  </si>
  <si>
    <t xml:space="preserve">3.6. KLAIPĖDOS IR TAURAGĖS APSKRIČIŲ SAVIVALDYBIŲ VIEŠŲJŲ BIBLIOTEKŲ </t>
  </si>
  <si>
    <t>Išduota dokumentų į namus</t>
  </si>
  <si>
    <t>Išduota dokumentų vietoje</t>
  </si>
  <si>
    <t xml:space="preserve">3.7. KLAIPĖDOS IR TAURAGĖS APSKRIČIŲ SAVIVALDYBIŲ VIEŠŲJŲ BIBLIOTEKŲ </t>
  </si>
  <si>
    <t xml:space="preserve">3.8. SKAITOMUMAS IR LANKOMUMAS </t>
  </si>
  <si>
    <t>Skaitomumas</t>
  </si>
  <si>
    <t>Lankomumas</t>
  </si>
  <si>
    <t xml:space="preserve">3.9. VAIKŲ SKAITOMUMAS IR LANKOMUMAS </t>
  </si>
  <si>
    <t>Interneto seansų skaičius</t>
  </si>
  <si>
    <t>Atsisiųstųjų įrašų skaičius</t>
  </si>
  <si>
    <t>Virtualių apsilankymų skaičius</t>
  </si>
  <si>
    <t>Nusiųstųjų dokumentų skaičius</t>
  </si>
  <si>
    <t xml:space="preserve">* Grožinės ir šakinės literatūros procentas skaičiuojamas nuo visų leidinių išduoties. </t>
  </si>
  <si>
    <t xml:space="preserve">3.10. VARTOTOJAMS SKIRTOS DARBO VIETOS (DV) IR KOMPIUTERIZUOTOS DARBO VIETOS (KDV) </t>
  </si>
  <si>
    <t>Iš jų:</t>
  </si>
  <si>
    <t>KDV vartotojams iš viso:</t>
  </si>
  <si>
    <t xml:space="preserve">DV skaityklose </t>
  </si>
  <si>
    <t>Prijung-tos prie tinklo</t>
  </si>
  <si>
    <t>Prijung-tos prie interneto</t>
  </si>
  <si>
    <t>Gauta užklausų</t>
  </si>
  <si>
    <t>Užklausų skaičius vienai bibliotekai</t>
  </si>
  <si>
    <t>Įvykdyta užklausų</t>
  </si>
  <si>
    <t>Renginių iš viso:</t>
  </si>
  <si>
    <t>Tenka renginių vienai bibliotekai</t>
  </si>
  <si>
    <t>Iš jų parodos</t>
  </si>
  <si>
    <t xml:space="preserve"> </t>
  </si>
  <si>
    <t>2021 m.</t>
  </si>
  <si>
    <t xml:space="preserve">** Gyventojų sutelkimo procentas: bibliotekų vartotojų sk./ gyventojų sk. bibliotekų aptarnaujamose teritorijose ir * 100 </t>
  </si>
  <si>
    <t>Gyventojų sutelkimo procentas**</t>
  </si>
  <si>
    <t>3.1. KLAIPĖDOS IR TAURAGĖS APSKRIČIŲ SAVIVALDYBIŲ VIEŠŲJŲ BIBLIOTEKŲ VARTOTOJŲ TELKIMAS 2022 M.</t>
  </si>
  <si>
    <t>Nuolatinis gyventojų skaičius metų pradžioje pagal amžiaus grupes apskrityse ir savivaldybėse 2022 m. Lietuvos statistikos departamentas</t>
  </si>
  <si>
    <t>3.2. KLAIPĖDOS IR TAURAGĖS APSKRIČIŲ SAVIVALDYBIŲ VIEŠŲJŲ BIBLIOTEKŲ VARTOTOJŲ SKAIČIUS 2021-2022 M.</t>
  </si>
  <si>
    <t>SVB tinklo bibliotekose 2022 m.</t>
  </si>
  <si>
    <t>VB 2022 m.</t>
  </si>
  <si>
    <t>2022 m.</t>
  </si>
  <si>
    <t>Miesto fil. 2022 m.</t>
  </si>
  <si>
    <t>Kaimo fil. 2022 m.</t>
  </si>
  <si>
    <t>3.2.1. KLAIPĖDOS IR TAURAGĖS APSKRIČIŲ SAVIVALDYBIŲ VIEŠŲJŲ BIBLIOTEKŲ VARTOTOJŲ VAIKŲ SKAIČIUS 2021-2022 M.</t>
  </si>
  <si>
    <t>3.3. KLAIPĖDOS IR TAURAGĖS APSKRIČIŲ SAVIVALDYBIŲ VIEŠŲJŲ BIBLIOTEKŲ LANKYTOJŲ SKAIČIUS 2021-2022 M.</t>
  </si>
  <si>
    <t>Gyventojai (Statistikos departamento duomenys 2022 m. pradžioje)</t>
  </si>
  <si>
    <t>Lankytojų sk.     2022 m.</t>
  </si>
  <si>
    <t>3.3.1. KLAIPĖDOS IR TAURAGĖS APSKRIČIŲ SAVIVALDYBIŲ VIEŠŲJŲ BIBLIOTEKŲ LANKYTOJŲ VAIKŲ SKAIČIUS 2021-2022 M.</t>
  </si>
  <si>
    <t xml:space="preserve">    2022 m.</t>
  </si>
  <si>
    <t>3.4. KLAIPĖDOS IR TAURAGĖS APSKRIČIŲ SAVIVALDYBIŲ VIEŠŲJŲ BIBLIOTEKŲ DOKUMENTŲ IŠDUOTIS (FIZ.VNT.) 2021-2022 M.</t>
  </si>
  <si>
    <t>DOKUMENTŲ IŠDUOTIS VIETOJE IR Į NAMUS 2022 M.</t>
  </si>
  <si>
    <t>KLAIPĖDOS IR TAURAGĖS APSKRIČIŲ SAVIVALDYBIŲ VIEŠOSIOSE BIBLIOTEKOSE 2022 M.</t>
  </si>
  <si>
    <t>KDV pokytis lyginant su 2021 m.</t>
  </si>
  <si>
    <t>3.11. INFORMACINĖS UŽKLAUSOS KLAIPĖDOS IR TAURAGĖS APSKRIČIŲ SAVIVALDYBIŲ VIEŠOSIOSE BIBLIOTEKOSE 2022 M.</t>
  </si>
  <si>
    <t>Užklausų skaičiaus vienai bibliotekai pokytis, lyginant su 2021 m.</t>
  </si>
  <si>
    <t>3.12. RENGINIŲ SKAIČIUS KLAIPĖDOS IR TAURAGĖS APSKRIČIŲ SAVIVALDYBIŲ VIEŠOSIOSE BIBLIOTEKOSE 2022 M.</t>
  </si>
  <si>
    <t>Renginių skaičiaus vienai bibliotekai pokytis, lyginant su 2021 m.</t>
  </si>
  <si>
    <t>3.10. NAUDOJIMASIS ELEKTRONINĖMIS PASLAUGOMIS KLAIPĖDOS IR TAURAGĖS APSKRIČIŲ SAVIVALDYBIŲ VIEŠOSIOSE BIBLIOTEKOSE 2022 M.</t>
  </si>
  <si>
    <t>3.5. KLAIPĖDOS IR TAURAGĖS APSKRIČIŲ SAVIVALDYBIŲ VIEŠŲJŲ BIBLIOTEKŲ GROŽINĖS IR ŠAKINĖS LITERATŪROS IŠDUOTIS 2022 M.</t>
  </si>
  <si>
    <t>PERIODINIŲ LEIDINIŲ IŠDUOTIS 2022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</si>
</sst>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  <scheme val="minor"/>
    </font>
    <font>
      <sz val="11"/>
      <name val="Calibri"/>
      <family val="2"/>
      <charset val="186"/>
    </font>
    <font>
      <sz val="12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</font>
    <font>
      <b/>
      <sz val="12"/>
      <name val="Calibri"/>
      <family val="2"/>
      <charset val="186"/>
    </font>
    <font>
      <sz val="12"/>
      <name val="Calibri"/>
      <family val="2"/>
      <charset val="186"/>
    </font>
    <font>
      <sz val="10"/>
      <name val="Arial"/>
      <family val="2"/>
      <charset val="186"/>
    </font>
    <font>
      <b/>
      <sz val="22"/>
      <color rgb="FFFF0000"/>
      <name val="Calibri"/>
      <family val="2"/>
      <charset val="186"/>
    </font>
    <font>
      <b/>
      <sz val="28"/>
      <color rgb="FFFF0000"/>
      <name val="Calibri"/>
      <family val="2"/>
      <charset val="186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FFFF00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3" fillId="0" borderId="0"/>
    <xf numFmtId="0" fontId="15" fillId="0" borderId="0"/>
  </cellStyleXfs>
  <cellXfs count="175">
    <xf numFmtId="0" fontId="0" fillId="0" borderId="0" xfId="0"/>
    <xf numFmtId="0" fontId="4" fillId="3" borderId="1" xfId="2" applyFont="1" applyFill="1" applyBorder="1" applyAlignment="1">
      <alignment horizontal="center" vertical="center" wrapText="1"/>
    </xf>
    <xf numFmtId="0" fontId="4" fillId="3" borderId="11" xfId="2" applyFont="1" applyFill="1" applyBorder="1" applyAlignment="1">
      <alignment horizontal="center" vertical="center" wrapText="1"/>
    </xf>
    <xf numFmtId="0" fontId="6" fillId="6" borderId="5" xfId="1" applyFont="1" applyFill="1" applyBorder="1" applyAlignment="1">
      <alignment horizontal="center" wrapText="1"/>
    </xf>
    <xf numFmtId="0" fontId="6" fillId="6" borderId="5" xfId="1" applyFont="1" applyFill="1" applyBorder="1" applyAlignment="1">
      <alignment vertical="center" wrapText="1"/>
    </xf>
    <xf numFmtId="0" fontId="7" fillId="0" borderId="0" xfId="0" applyFont="1"/>
    <xf numFmtId="0" fontId="6" fillId="7" borderId="5" xfId="0" applyFont="1" applyFill="1" applyBorder="1" applyAlignment="1">
      <alignment horizontal="center" vertical="top"/>
    </xf>
    <xf numFmtId="0" fontId="6" fillId="3" borderId="5" xfId="0" applyFont="1" applyFill="1" applyBorder="1" applyAlignment="1">
      <alignment horizontal="center" vertical="center" wrapText="1"/>
    </xf>
    <xf numFmtId="1" fontId="6" fillId="7" borderId="5" xfId="0" applyNumberFormat="1" applyFont="1" applyFill="1" applyBorder="1" applyAlignment="1">
      <alignment horizontal="center" vertical="top"/>
    </xf>
    <xf numFmtId="0" fontId="6" fillId="6" borderId="5" xfId="0" applyFont="1" applyFill="1" applyBorder="1" applyAlignment="1">
      <alignment horizontal="center"/>
    </xf>
    <xf numFmtId="0" fontId="4" fillId="3" borderId="6" xfId="2" applyFont="1" applyFill="1" applyBorder="1" applyAlignment="1">
      <alignment horizontal="center" vertical="center" wrapText="1"/>
    </xf>
    <xf numFmtId="0" fontId="4" fillId="3" borderId="5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6" fillId="6" borderId="5" xfId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6" borderId="5" xfId="1" applyFont="1" applyFill="1" applyBorder="1" applyAlignment="1">
      <alignment horizontal="left" vertical="center" wrapText="1"/>
    </xf>
    <xf numFmtId="0" fontId="4" fillId="3" borderId="21" xfId="2" applyFont="1" applyFill="1" applyBorder="1" applyAlignment="1">
      <alignment horizontal="center" vertical="center" wrapText="1"/>
    </xf>
    <xf numFmtId="1" fontId="6" fillId="7" borderId="5" xfId="0" applyNumberFormat="1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 wrapText="1"/>
    </xf>
    <xf numFmtId="0" fontId="11" fillId="4" borderId="5" xfId="0" applyFont="1" applyFill="1" applyBorder="1"/>
    <xf numFmtId="0" fontId="2" fillId="0" borderId="0" xfId="0" applyFont="1" applyAlignment="1"/>
    <xf numFmtId="0" fontId="5" fillId="4" borderId="5" xfId="0" applyFont="1" applyFill="1" applyBorder="1" applyAlignment="1">
      <alignment vertical="center"/>
    </xf>
    <xf numFmtId="0" fontId="5" fillId="4" borderId="12" xfId="0" applyFont="1" applyFill="1" applyBorder="1" applyAlignment="1">
      <alignment vertical="center"/>
    </xf>
    <xf numFmtId="0" fontId="5" fillId="4" borderId="14" xfId="0" applyFont="1" applyFill="1" applyBorder="1" applyAlignment="1">
      <alignment vertical="center"/>
    </xf>
    <xf numFmtId="0" fontId="5" fillId="4" borderId="13" xfId="0" applyFont="1" applyFill="1" applyBorder="1" applyAlignment="1">
      <alignment vertical="center"/>
    </xf>
    <xf numFmtId="0" fontId="5" fillId="4" borderId="15" xfId="0" applyFont="1" applyFill="1" applyBorder="1" applyAlignment="1">
      <alignment vertical="center"/>
    </xf>
    <xf numFmtId="0" fontId="5" fillId="4" borderId="16" xfId="0" applyFont="1" applyFill="1" applyBorder="1" applyAlignment="1">
      <alignment vertical="center"/>
    </xf>
    <xf numFmtId="0" fontId="5" fillId="4" borderId="17" xfId="0" applyFont="1" applyFill="1" applyBorder="1" applyAlignment="1">
      <alignment vertical="center"/>
    </xf>
    <xf numFmtId="0" fontId="11" fillId="0" borderId="0" xfId="0" applyFont="1"/>
    <xf numFmtId="0" fontId="0" fillId="0" borderId="0" xfId="0" applyAlignment="1"/>
    <xf numFmtId="0" fontId="4" fillId="3" borderId="23" xfId="2" applyFont="1" applyFill="1" applyBorder="1" applyAlignment="1">
      <alignment horizontal="center" vertical="center" wrapText="1"/>
    </xf>
    <xf numFmtId="0" fontId="4" fillId="3" borderId="23" xfId="2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/>
    <xf numFmtId="2" fontId="6" fillId="7" borderId="5" xfId="0" applyNumberFormat="1" applyFont="1" applyFill="1" applyBorder="1" applyAlignment="1">
      <alignment horizontal="center" vertical="center"/>
    </xf>
    <xf numFmtId="164" fontId="6" fillId="7" borderId="5" xfId="0" applyNumberFormat="1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1" fontId="7" fillId="0" borderId="0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 vertical="center"/>
    </xf>
    <xf numFmtId="0" fontId="6" fillId="7" borderId="5" xfId="1" applyFont="1" applyFill="1" applyBorder="1" applyAlignment="1">
      <alignment horizontal="center" wrapText="1"/>
    </xf>
    <xf numFmtId="1" fontId="6" fillId="7" borderId="5" xfId="1" applyNumberFormat="1" applyFont="1" applyFill="1" applyBorder="1" applyAlignment="1">
      <alignment horizontal="center" wrapText="1"/>
    </xf>
    <xf numFmtId="0" fontId="6" fillId="7" borderId="5" xfId="1" applyFont="1" applyFill="1" applyBorder="1" applyAlignment="1">
      <alignment horizontal="center" vertical="center" wrapText="1"/>
    </xf>
    <xf numFmtId="1" fontId="6" fillId="7" borderId="5" xfId="1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/>
    </xf>
    <xf numFmtId="1" fontId="8" fillId="5" borderId="5" xfId="0" applyNumberFormat="1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/>
    </xf>
    <xf numFmtId="1" fontId="6" fillId="7" borderId="5" xfId="0" applyNumberFormat="1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 vertical="center"/>
    </xf>
    <xf numFmtId="1" fontId="6" fillId="7" borderId="12" xfId="0" applyNumberFormat="1" applyFont="1" applyFill="1" applyBorder="1" applyAlignment="1">
      <alignment horizontal="center" vertical="center"/>
    </xf>
    <xf numFmtId="1" fontId="14" fillId="7" borderId="5" xfId="0" applyNumberFormat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1" fontId="8" fillId="5" borderId="12" xfId="0" applyNumberFormat="1" applyFont="1" applyFill="1" applyBorder="1" applyAlignment="1">
      <alignment horizontal="center" vertical="center"/>
    </xf>
    <xf numFmtId="1" fontId="13" fillId="5" borderId="5" xfId="0" applyNumberFormat="1" applyFont="1" applyFill="1" applyBorder="1" applyAlignment="1">
      <alignment horizontal="center" vertical="center"/>
    </xf>
    <xf numFmtId="164" fontId="6" fillId="7" borderId="5" xfId="0" applyNumberFormat="1" applyFont="1" applyFill="1" applyBorder="1" applyAlignment="1">
      <alignment horizontal="center"/>
    </xf>
    <xf numFmtId="164" fontId="8" fillId="5" borderId="5" xfId="0" applyNumberFormat="1" applyFont="1" applyFill="1" applyBorder="1" applyAlignment="1">
      <alignment horizontal="center" vertical="center"/>
    </xf>
    <xf numFmtId="2" fontId="6" fillId="7" borderId="5" xfId="0" applyNumberFormat="1" applyFont="1" applyFill="1" applyBorder="1" applyAlignment="1">
      <alignment horizontal="center"/>
    </xf>
    <xf numFmtId="2" fontId="8" fillId="5" borderId="5" xfId="0" applyNumberFormat="1" applyFont="1" applyFill="1" applyBorder="1" applyAlignment="1">
      <alignment horizontal="center" vertical="center"/>
    </xf>
    <xf numFmtId="164" fontId="14" fillId="7" borderId="5" xfId="0" applyNumberFormat="1" applyFont="1" applyFill="1" applyBorder="1" applyAlignment="1">
      <alignment horizontal="center" vertical="center"/>
    </xf>
    <xf numFmtId="164" fontId="13" fillId="5" borderId="5" xfId="0" applyNumberFormat="1" applyFont="1" applyFill="1" applyBorder="1" applyAlignment="1">
      <alignment horizontal="center" vertical="center"/>
    </xf>
    <xf numFmtId="0" fontId="10" fillId="0" borderId="0" xfId="0" applyFont="1"/>
    <xf numFmtId="0" fontId="13" fillId="5" borderId="5" xfId="0" applyFont="1" applyFill="1" applyBorder="1" applyAlignment="1">
      <alignment horizontal="center" vertical="center"/>
    </xf>
    <xf numFmtId="164" fontId="8" fillId="5" borderId="12" xfId="0" applyNumberFormat="1" applyFont="1" applyFill="1" applyBorder="1" applyAlignment="1">
      <alignment horizontal="center" vertical="center"/>
    </xf>
    <xf numFmtId="0" fontId="4" fillId="3" borderId="23" xfId="2" applyFont="1" applyFill="1" applyBorder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2" fillId="0" borderId="0" xfId="0" applyFont="1"/>
    <xf numFmtId="3" fontId="6" fillId="6" borderId="26" xfId="0" applyNumberFormat="1" applyFont="1" applyFill="1" applyBorder="1" applyAlignment="1">
      <alignment horizontal="center" vertical="center"/>
    </xf>
    <xf numFmtId="3" fontId="6" fillId="0" borderId="26" xfId="0" applyNumberFormat="1" applyFont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top"/>
    </xf>
    <xf numFmtId="164" fontId="6" fillId="6" borderId="5" xfId="0" applyNumberFormat="1" applyFont="1" applyFill="1" applyBorder="1" applyAlignment="1">
      <alignment horizontal="center"/>
    </xf>
    <xf numFmtId="164" fontId="6" fillId="6" borderId="5" xfId="0" applyNumberFormat="1" applyFont="1" applyFill="1" applyBorder="1" applyAlignment="1">
      <alignment horizontal="center" vertical="center"/>
    </xf>
    <xf numFmtId="1" fontId="6" fillId="6" borderId="5" xfId="0" applyNumberFormat="1" applyFont="1" applyFill="1" applyBorder="1" applyAlignment="1">
      <alignment horizontal="center"/>
    </xf>
    <xf numFmtId="1" fontId="6" fillId="6" borderId="5" xfId="0" applyNumberFormat="1" applyFont="1" applyFill="1" applyBorder="1" applyAlignment="1">
      <alignment horizontal="center" vertical="center"/>
    </xf>
    <xf numFmtId="2" fontId="6" fillId="6" borderId="5" xfId="0" applyNumberFormat="1" applyFont="1" applyFill="1" applyBorder="1" applyAlignment="1">
      <alignment horizontal="center"/>
    </xf>
    <xf numFmtId="2" fontId="6" fillId="6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top"/>
    </xf>
    <xf numFmtId="0" fontId="14" fillId="0" borderId="5" xfId="0" applyFont="1" applyBorder="1" applyAlignment="1">
      <alignment horizontal="center" vertical="center"/>
    </xf>
    <xf numFmtId="1" fontId="14" fillId="0" borderId="5" xfId="0" applyNumberFormat="1" applyFont="1" applyBorder="1" applyAlignment="1">
      <alignment horizontal="center" vertical="center"/>
    </xf>
    <xf numFmtId="1" fontId="14" fillId="6" borderId="5" xfId="0" applyNumberFormat="1" applyFont="1" applyFill="1" applyBorder="1" applyAlignment="1">
      <alignment horizontal="center" vertical="center"/>
    </xf>
    <xf numFmtId="164" fontId="6" fillId="6" borderId="5" xfId="1" applyNumberFormat="1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/>
    </xf>
    <xf numFmtId="164" fontId="14" fillId="6" borderId="5" xfId="0" applyNumberFormat="1" applyFont="1" applyFill="1" applyBorder="1" applyAlignment="1">
      <alignment horizontal="center" vertical="center"/>
    </xf>
    <xf numFmtId="1" fontId="6" fillId="6" borderId="12" xfId="0" applyNumberFormat="1" applyFont="1" applyFill="1" applyBorder="1" applyAlignment="1">
      <alignment horizontal="center" vertical="center"/>
    </xf>
    <xf numFmtId="1" fontId="6" fillId="0" borderId="5" xfId="0" applyNumberFormat="1" applyFont="1" applyFill="1" applyBorder="1" applyAlignment="1">
      <alignment horizontal="center" vertical="center"/>
    </xf>
    <xf numFmtId="1" fontId="14" fillId="6" borderId="26" xfId="0" applyNumberFormat="1" applyFont="1" applyFill="1" applyBorder="1" applyAlignment="1">
      <alignment horizontal="center" vertical="center"/>
    </xf>
    <xf numFmtId="1" fontId="14" fillId="8" borderId="26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" fontId="14" fillId="0" borderId="26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164" fontId="14" fillId="6" borderId="0" xfId="0" applyNumberFormat="1" applyFont="1" applyFill="1" applyAlignment="1">
      <alignment horizontal="center" vertical="center"/>
    </xf>
    <xf numFmtId="164" fontId="6" fillId="7" borderId="5" xfId="1" applyNumberFormat="1" applyFont="1" applyFill="1" applyBorder="1" applyAlignment="1">
      <alignment horizontal="center" vertical="center" wrapText="1"/>
    </xf>
    <xf numFmtId="164" fontId="6" fillId="7" borderId="1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3" borderId="1" xfId="2" applyFont="1" applyFill="1" applyBorder="1" applyAlignment="1">
      <alignment horizontal="center" vertical="center" wrapText="1"/>
    </xf>
    <xf numFmtId="0" fontId="4" fillId="3" borderId="6" xfId="2" applyFont="1" applyFill="1" applyBorder="1" applyAlignment="1">
      <alignment horizontal="center" vertical="center" wrapText="1"/>
    </xf>
    <xf numFmtId="0" fontId="4" fillId="3" borderId="10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4" fillId="3" borderId="8" xfId="2" applyFont="1" applyFill="1" applyBorder="1" applyAlignment="1">
      <alignment horizontal="center" vertical="center" wrapText="1"/>
    </xf>
    <xf numFmtId="0" fontId="4" fillId="3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8" fillId="5" borderId="12" xfId="1" applyFont="1" applyFill="1" applyBorder="1" applyAlignment="1">
      <alignment horizontal="right" vertical="center" wrapText="1"/>
    </xf>
    <xf numFmtId="0" fontId="8" fillId="5" borderId="13" xfId="1" applyFont="1" applyFill="1" applyBorder="1" applyAlignment="1">
      <alignment horizontal="right" vertical="center" wrapText="1"/>
    </xf>
    <xf numFmtId="0" fontId="6" fillId="7" borderId="12" xfId="1" applyFont="1" applyFill="1" applyBorder="1" applyAlignment="1">
      <alignment horizontal="right" wrapText="1"/>
    </xf>
    <xf numFmtId="0" fontId="6" fillId="7" borderId="13" xfId="1" applyFont="1" applyFill="1" applyBorder="1" applyAlignment="1">
      <alignment horizontal="right" wrapText="1"/>
    </xf>
    <xf numFmtId="0" fontId="6" fillId="7" borderId="12" xfId="1" applyFont="1" applyFill="1" applyBorder="1" applyAlignment="1">
      <alignment horizontal="right" vertical="center"/>
    </xf>
    <xf numFmtId="0" fontId="6" fillId="7" borderId="13" xfId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left"/>
    </xf>
    <xf numFmtId="0" fontId="4" fillId="3" borderId="5" xfId="2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/>
    <xf numFmtId="0" fontId="8" fillId="5" borderId="14" xfId="1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right"/>
    </xf>
    <xf numFmtId="0" fontId="8" fillId="4" borderId="5" xfId="0" applyFont="1" applyFill="1" applyBorder="1" applyAlignment="1">
      <alignment horizontal="left"/>
    </xf>
    <xf numFmtId="0" fontId="4" fillId="3" borderId="12" xfId="2" applyFont="1" applyFill="1" applyBorder="1" applyAlignment="1">
      <alignment horizontal="center" vertical="center" wrapText="1"/>
    </xf>
    <xf numFmtId="0" fontId="4" fillId="3" borderId="13" xfId="2" applyFont="1" applyFill="1" applyBorder="1" applyAlignment="1">
      <alignment horizontal="center" vertical="center" wrapText="1"/>
    </xf>
    <xf numFmtId="0" fontId="4" fillId="3" borderId="17" xfId="2" applyFont="1" applyFill="1" applyBorder="1" applyAlignment="1">
      <alignment horizontal="center" vertical="center" wrapText="1"/>
    </xf>
    <xf numFmtId="0" fontId="4" fillId="3" borderId="20" xfId="2" applyFont="1" applyFill="1" applyBorder="1" applyAlignment="1">
      <alignment horizontal="center" vertical="center" wrapText="1"/>
    </xf>
    <xf numFmtId="0" fontId="4" fillId="3" borderId="15" xfId="2" applyFont="1" applyFill="1" applyBorder="1" applyAlignment="1">
      <alignment horizontal="center" vertical="center" wrapText="1"/>
    </xf>
    <xf numFmtId="0" fontId="4" fillId="3" borderId="16" xfId="2" applyFont="1" applyFill="1" applyBorder="1" applyAlignment="1">
      <alignment horizontal="center" vertical="center" wrapText="1"/>
    </xf>
    <xf numFmtId="0" fontId="4" fillId="3" borderId="18" xfId="2" applyFont="1" applyFill="1" applyBorder="1" applyAlignment="1">
      <alignment horizontal="center" vertical="center" wrapText="1"/>
    </xf>
    <xf numFmtId="0" fontId="4" fillId="3" borderId="19" xfId="2" applyFont="1" applyFill="1" applyBorder="1" applyAlignment="1">
      <alignment horizontal="center" vertical="center" wrapText="1"/>
    </xf>
    <xf numFmtId="0" fontId="6" fillId="7" borderId="12" xfId="1" applyFont="1" applyFill="1" applyBorder="1" applyAlignment="1">
      <alignment horizontal="right" vertical="center" wrapText="1"/>
    </xf>
    <xf numFmtId="0" fontId="6" fillId="7" borderId="13" xfId="1" applyFont="1" applyFill="1" applyBorder="1" applyAlignment="1">
      <alignment horizontal="right" vertical="center" wrapText="1"/>
    </xf>
    <xf numFmtId="0" fontId="5" fillId="4" borderId="1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4" fillId="3" borderId="14" xfId="2" applyFont="1" applyFill="1" applyBorder="1" applyAlignment="1">
      <alignment horizontal="center" vertical="center" wrapText="1"/>
    </xf>
    <xf numFmtId="0" fontId="4" fillId="3" borderId="23" xfId="2" applyFont="1" applyFill="1" applyBorder="1" applyAlignment="1">
      <alignment horizontal="center" vertical="center" wrapText="1"/>
    </xf>
    <xf numFmtId="0" fontId="4" fillId="3" borderId="24" xfId="2" applyFont="1" applyFill="1" applyBorder="1" applyAlignment="1">
      <alignment horizontal="center" vertical="center" wrapText="1"/>
    </xf>
    <xf numFmtId="0" fontId="4" fillId="3" borderId="21" xfId="2" applyFont="1" applyFill="1" applyBorder="1" applyAlignment="1">
      <alignment horizontal="center" vertical="center" wrapText="1"/>
    </xf>
    <xf numFmtId="0" fontId="4" fillId="3" borderId="0" xfId="2" applyFont="1" applyFill="1" applyBorder="1" applyAlignment="1">
      <alignment horizontal="center" vertical="center" wrapText="1"/>
    </xf>
    <xf numFmtId="0" fontId="4" fillId="3" borderId="22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4" fillId="3" borderId="27" xfId="2" applyFont="1" applyFill="1" applyBorder="1" applyAlignment="1">
      <alignment horizontal="center" vertical="center" wrapText="1"/>
    </xf>
    <xf numFmtId="0" fontId="4" fillId="3" borderId="25" xfId="2" applyFont="1" applyFill="1" applyBorder="1" applyAlignment="1">
      <alignment horizontal="center" vertical="center" wrapText="1"/>
    </xf>
    <xf numFmtId="1" fontId="8" fillId="5" borderId="12" xfId="1" applyNumberFormat="1" applyFont="1" applyFill="1" applyBorder="1" applyAlignment="1">
      <alignment horizontal="right" vertical="center" wrapText="1"/>
    </xf>
    <xf numFmtId="1" fontId="8" fillId="5" borderId="13" xfId="1" applyNumberFormat="1" applyFont="1" applyFill="1" applyBorder="1" applyAlignment="1">
      <alignment horizontal="right" vertical="center" wrapText="1"/>
    </xf>
    <xf numFmtId="1" fontId="6" fillId="7" borderId="12" xfId="1" applyNumberFormat="1" applyFont="1" applyFill="1" applyBorder="1" applyAlignment="1">
      <alignment horizontal="right" vertical="center"/>
    </xf>
    <xf numFmtId="1" fontId="6" fillId="7" borderId="13" xfId="1" applyNumberFormat="1" applyFont="1" applyFill="1" applyBorder="1" applyAlignment="1">
      <alignment horizontal="right" vertical="center"/>
    </xf>
    <xf numFmtId="1" fontId="6" fillId="7" borderId="12" xfId="1" applyNumberFormat="1" applyFont="1" applyFill="1" applyBorder="1" applyAlignment="1">
      <alignment horizontal="right" wrapText="1"/>
    </xf>
    <xf numFmtId="1" fontId="6" fillId="7" borderId="13" xfId="1" applyNumberFormat="1" applyFont="1" applyFill="1" applyBorder="1" applyAlignment="1">
      <alignment horizontal="right" wrapText="1"/>
    </xf>
    <xf numFmtId="0" fontId="5" fillId="4" borderId="15" xfId="0" applyFont="1" applyFill="1" applyBorder="1" applyAlignment="1">
      <alignment horizontal="left" vertical="center"/>
    </xf>
    <xf numFmtId="0" fontId="5" fillId="4" borderId="16" xfId="0" applyFont="1" applyFill="1" applyBorder="1" applyAlignment="1">
      <alignment horizontal="left" vertical="center"/>
    </xf>
    <xf numFmtId="0" fontId="5" fillId="4" borderId="17" xfId="0" applyFont="1" applyFill="1" applyBorder="1" applyAlignment="1">
      <alignment horizontal="left" vertical="center"/>
    </xf>
    <xf numFmtId="1" fontId="6" fillId="7" borderId="5" xfId="1" applyNumberFormat="1" applyFont="1" applyFill="1" applyBorder="1" applyAlignment="1">
      <alignment horizontal="right" wrapText="1"/>
    </xf>
    <xf numFmtId="0" fontId="5" fillId="4" borderId="5" xfId="0" applyFont="1" applyFill="1" applyBorder="1" applyAlignment="1">
      <alignment horizontal="left" vertical="center"/>
    </xf>
    <xf numFmtId="0" fontId="6" fillId="7" borderId="5" xfId="1" applyFont="1" applyFill="1" applyBorder="1" applyAlignment="1">
      <alignment horizontal="right" vertical="center"/>
    </xf>
    <xf numFmtId="0" fontId="8" fillId="5" borderId="5" xfId="1" applyFont="1" applyFill="1" applyBorder="1" applyAlignment="1">
      <alignment horizontal="right" vertical="center" wrapText="1"/>
    </xf>
    <xf numFmtId="0" fontId="6" fillId="7" borderId="5" xfId="1" applyFont="1" applyFill="1" applyBorder="1" applyAlignment="1">
      <alignment horizontal="right" wrapText="1"/>
    </xf>
    <xf numFmtId="0" fontId="7" fillId="4" borderId="12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</cellXfs>
  <cellStyles count="4">
    <cellStyle name="20% – paryškinimas 4" xfId="1" builtinId="42"/>
    <cellStyle name="Įprastas" xfId="0" builtinId="0" customBuiltin="1"/>
    <cellStyle name="Įprastas 2" xfId="2" xr:uid="{00000000-0005-0000-0000-000002000000}"/>
    <cellStyle name="Įprastas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2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30</xdr:row>
      <xdr:rowOff>0</xdr:rowOff>
    </xdr:from>
    <xdr:to>
      <xdr:col>7</xdr:col>
      <xdr:colOff>381000</xdr:colOff>
      <xdr:row>46</xdr:row>
      <xdr:rowOff>11885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6276975"/>
          <a:ext cx="5524500" cy="3059885"/>
        </a:xfrm>
        <a:prstGeom prst="rect">
          <a:avLst/>
        </a:prstGeom>
      </xdr:spPr>
    </xdr:pic>
    <xdr:clientData/>
  </xdr:twoCellAnchor>
  <xdr:twoCellAnchor editAs="oneCell">
    <xdr:from>
      <xdr:col>8</xdr:col>
      <xdr:colOff>22449</xdr:colOff>
      <xdr:row>30</xdr:row>
      <xdr:rowOff>0</xdr:rowOff>
    </xdr:from>
    <xdr:to>
      <xdr:col>15</xdr:col>
      <xdr:colOff>576311</xdr:colOff>
      <xdr:row>46</xdr:row>
      <xdr:rowOff>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85074" y="6276975"/>
          <a:ext cx="5249687" cy="3048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390524</xdr:colOff>
      <xdr:row>26</xdr:row>
      <xdr:rowOff>0</xdr:rowOff>
    </xdr:from>
    <xdr:to>
      <xdr:col>22</xdr:col>
      <xdr:colOff>266008</xdr:colOff>
      <xdr:row>42</xdr:row>
      <xdr:rowOff>9525</xdr:rowOff>
    </xdr:to>
    <xdr:pic>
      <xdr:nvPicPr>
        <xdr:cNvPr id="8" name="Paveikslėl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82099" y="5591175"/>
          <a:ext cx="4314134" cy="3057525"/>
        </a:xfrm>
        <a:prstGeom prst="rect">
          <a:avLst/>
        </a:prstGeom>
      </xdr:spPr>
    </xdr:pic>
    <xdr:clientData/>
  </xdr:twoCellAnchor>
  <xdr:twoCellAnchor editAs="oneCell">
    <xdr:from>
      <xdr:col>6</xdr:col>
      <xdr:colOff>39122</xdr:colOff>
      <xdr:row>25</xdr:row>
      <xdr:rowOff>180975</xdr:rowOff>
    </xdr:from>
    <xdr:to>
      <xdr:col>14</xdr:col>
      <xdr:colOff>240315</xdr:colOff>
      <xdr:row>42</xdr:row>
      <xdr:rowOff>9526</xdr:rowOff>
    </xdr:to>
    <xdr:pic>
      <xdr:nvPicPr>
        <xdr:cNvPr id="9" name="Paveikslėl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11097" y="5581650"/>
          <a:ext cx="4620793" cy="3067051"/>
        </a:xfrm>
        <a:prstGeom prst="rect">
          <a:avLst/>
        </a:prstGeom>
      </xdr:spPr>
    </xdr:pic>
    <xdr:clientData/>
  </xdr:twoCellAnchor>
  <xdr:twoCellAnchor editAs="oneCell">
    <xdr:from>
      <xdr:col>0</xdr:col>
      <xdr:colOff>95249</xdr:colOff>
      <xdr:row>25</xdr:row>
      <xdr:rowOff>190499</xdr:rowOff>
    </xdr:from>
    <xdr:to>
      <xdr:col>5</xdr:col>
      <xdr:colOff>425846</xdr:colOff>
      <xdr:row>42</xdr:row>
      <xdr:rowOff>9525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6209" r="7271"/>
        <a:stretch/>
      </xdr:blipFill>
      <xdr:spPr>
        <a:xfrm>
          <a:off x="95249" y="5591174"/>
          <a:ext cx="4140597" cy="30575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228599</xdr:colOff>
      <xdr:row>26</xdr:row>
      <xdr:rowOff>186694</xdr:rowOff>
    </xdr:from>
    <xdr:to>
      <xdr:col>15</xdr:col>
      <xdr:colOff>16929</xdr:colOff>
      <xdr:row>42</xdr:row>
      <xdr:rowOff>9524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4874" y="5511169"/>
          <a:ext cx="5112805" cy="288035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27</xdr:row>
      <xdr:rowOff>0</xdr:rowOff>
    </xdr:from>
    <xdr:to>
      <xdr:col>6</xdr:col>
      <xdr:colOff>57150</xdr:colOff>
      <xdr:row>42</xdr:row>
      <xdr:rowOff>3082</xdr:rowOff>
    </xdr:to>
    <xdr:pic>
      <xdr:nvPicPr>
        <xdr:cNvPr id="5" name="Paveikslėl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" y="5524500"/>
          <a:ext cx="4419600" cy="286058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26</xdr:row>
      <xdr:rowOff>0</xdr:rowOff>
    </xdr:from>
    <xdr:to>
      <xdr:col>4</xdr:col>
      <xdr:colOff>447675</xdr:colOff>
      <xdr:row>42</xdr:row>
      <xdr:rowOff>4891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5791200"/>
          <a:ext cx="4981575" cy="3052891"/>
        </a:xfrm>
        <a:prstGeom prst="rect">
          <a:avLst/>
        </a:prstGeom>
      </xdr:spPr>
    </xdr:pic>
    <xdr:clientData/>
  </xdr:twoCellAnchor>
  <xdr:twoCellAnchor editAs="oneCell">
    <xdr:from>
      <xdr:col>4</xdr:col>
      <xdr:colOff>676275</xdr:colOff>
      <xdr:row>26</xdr:row>
      <xdr:rowOff>0</xdr:rowOff>
    </xdr:from>
    <xdr:to>
      <xdr:col>12</xdr:col>
      <xdr:colOff>210379</xdr:colOff>
      <xdr:row>42</xdr:row>
      <xdr:rowOff>9525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86375" y="5791200"/>
          <a:ext cx="4953829" cy="30575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86507</xdr:colOff>
      <xdr:row>26</xdr:row>
      <xdr:rowOff>0</xdr:rowOff>
    </xdr:from>
    <xdr:to>
      <xdr:col>4</xdr:col>
      <xdr:colOff>640476</xdr:colOff>
      <xdr:row>41</xdr:row>
      <xdr:rowOff>0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507" y="5457825"/>
          <a:ext cx="4106794" cy="2857500"/>
        </a:xfrm>
        <a:prstGeom prst="rect">
          <a:avLst/>
        </a:prstGeom>
      </xdr:spPr>
    </xdr:pic>
    <xdr:clientData/>
  </xdr:twoCellAnchor>
  <xdr:twoCellAnchor editAs="oneCell">
    <xdr:from>
      <xdr:col>5</xdr:col>
      <xdr:colOff>104775</xdr:colOff>
      <xdr:row>25</xdr:row>
      <xdr:rowOff>190006</xdr:rowOff>
    </xdr:from>
    <xdr:to>
      <xdr:col>12</xdr:col>
      <xdr:colOff>237575</xdr:colOff>
      <xdr:row>41</xdr:row>
      <xdr:rowOff>9525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52925" y="5457331"/>
          <a:ext cx="4533350" cy="286751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189549</xdr:colOff>
      <xdr:row>39</xdr:row>
      <xdr:rowOff>133349</xdr:rowOff>
    </xdr:from>
    <xdr:to>
      <xdr:col>14</xdr:col>
      <xdr:colOff>28307</xdr:colOff>
      <xdr:row>54</xdr:row>
      <xdr:rowOff>47625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80699" y="8505824"/>
          <a:ext cx="4286933" cy="2771776"/>
        </a:xfrm>
        <a:prstGeom prst="rect">
          <a:avLst/>
        </a:prstGeom>
      </xdr:spPr>
    </xdr:pic>
    <xdr:clientData/>
  </xdr:twoCellAnchor>
  <xdr:twoCellAnchor editAs="oneCell">
    <xdr:from>
      <xdr:col>0</xdr:col>
      <xdr:colOff>85634</xdr:colOff>
      <xdr:row>25</xdr:row>
      <xdr:rowOff>0</xdr:rowOff>
    </xdr:from>
    <xdr:to>
      <xdr:col>7</xdr:col>
      <xdr:colOff>10607</xdr:colOff>
      <xdr:row>48</xdr:row>
      <xdr:rowOff>66675</xdr:rowOff>
    </xdr:to>
    <xdr:pic>
      <xdr:nvPicPr>
        <xdr:cNvPr id="5" name="Paveikslėl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634" y="5600700"/>
          <a:ext cx="5316123" cy="4552950"/>
        </a:xfrm>
        <a:prstGeom prst="rect">
          <a:avLst/>
        </a:prstGeom>
      </xdr:spPr>
    </xdr:pic>
    <xdr:clientData/>
  </xdr:twoCellAnchor>
  <xdr:twoCellAnchor editAs="oneCell">
    <xdr:from>
      <xdr:col>7</xdr:col>
      <xdr:colOff>189441</xdr:colOff>
      <xdr:row>24</xdr:row>
      <xdr:rowOff>190499</xdr:rowOff>
    </xdr:from>
    <xdr:to>
      <xdr:col>14</xdr:col>
      <xdr:colOff>480659</xdr:colOff>
      <xdr:row>38</xdr:row>
      <xdr:rowOff>190499</xdr:rowOff>
    </xdr:to>
    <xdr:pic>
      <xdr:nvPicPr>
        <xdr:cNvPr id="6" name="Paveikslėlis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80591" y="5600699"/>
          <a:ext cx="4739393" cy="27717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27</xdr:row>
      <xdr:rowOff>57150</xdr:rowOff>
    </xdr:from>
    <xdr:to>
      <xdr:col>6</xdr:col>
      <xdr:colOff>129268</xdr:colOff>
      <xdr:row>44</xdr:row>
      <xdr:rowOff>0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27C12DE2-6D4A-45B9-9E2B-545BB5381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6010275"/>
          <a:ext cx="4539343" cy="33528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28</xdr:row>
      <xdr:rowOff>5364</xdr:rowOff>
    </xdr:from>
    <xdr:to>
      <xdr:col>6</xdr:col>
      <xdr:colOff>495300</xdr:colOff>
      <xdr:row>44</xdr:row>
      <xdr:rowOff>1288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6C9EAC78-B77B-4C25-8680-90C36E4BA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5987064"/>
          <a:ext cx="5095875" cy="331062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120817</xdr:colOff>
      <xdr:row>25</xdr:row>
      <xdr:rowOff>180975</xdr:rowOff>
    </xdr:from>
    <xdr:to>
      <xdr:col>5</xdr:col>
      <xdr:colOff>250826</xdr:colOff>
      <xdr:row>41</xdr:row>
      <xdr:rowOff>9525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817" y="5791200"/>
          <a:ext cx="4340059" cy="28765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26</xdr:row>
      <xdr:rowOff>9524</xdr:rowOff>
    </xdr:from>
    <xdr:to>
      <xdr:col>6</xdr:col>
      <xdr:colOff>506265</xdr:colOff>
      <xdr:row>45</xdr:row>
      <xdr:rowOff>19049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5781674"/>
          <a:ext cx="5125890" cy="3629025"/>
        </a:xfrm>
        <a:prstGeom prst="rect">
          <a:avLst/>
        </a:prstGeom>
      </xdr:spPr>
    </xdr:pic>
    <xdr:clientData/>
  </xdr:twoCellAnchor>
  <xdr:twoCellAnchor editAs="oneCell">
    <xdr:from>
      <xdr:col>6</xdr:col>
      <xdr:colOff>668311</xdr:colOff>
      <xdr:row>26</xdr:row>
      <xdr:rowOff>9525</xdr:rowOff>
    </xdr:from>
    <xdr:to>
      <xdr:col>15</xdr:col>
      <xdr:colOff>286902</xdr:colOff>
      <xdr:row>45</xdr:row>
      <xdr:rowOff>9525</xdr:rowOff>
    </xdr:to>
    <xdr:pic>
      <xdr:nvPicPr>
        <xdr:cNvPr id="5" name="Paveikslėlis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54611" y="5781675"/>
          <a:ext cx="5104991" cy="36195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26</xdr:row>
      <xdr:rowOff>0</xdr:rowOff>
    </xdr:from>
    <xdr:to>
      <xdr:col>6</xdr:col>
      <xdr:colOff>732810</xdr:colOff>
      <xdr:row>43</xdr:row>
      <xdr:rowOff>0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53100"/>
          <a:ext cx="5542935" cy="3238500"/>
        </a:xfrm>
        <a:prstGeom prst="rect">
          <a:avLst/>
        </a:prstGeom>
      </xdr:spPr>
    </xdr:pic>
    <xdr:clientData/>
  </xdr:twoCellAnchor>
  <xdr:twoCellAnchor editAs="oneCell">
    <xdr:from>
      <xdr:col>7</xdr:col>
      <xdr:colOff>24978</xdr:colOff>
      <xdr:row>25</xdr:row>
      <xdr:rowOff>180974</xdr:rowOff>
    </xdr:from>
    <xdr:to>
      <xdr:col>16</xdr:col>
      <xdr:colOff>145441</xdr:colOff>
      <xdr:row>42</xdr:row>
      <xdr:rowOff>190499</xdr:rowOff>
    </xdr:to>
    <xdr:pic>
      <xdr:nvPicPr>
        <xdr:cNvPr id="5" name="Paveikslėlis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54253" y="5743574"/>
          <a:ext cx="5559238" cy="32480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419099</xdr:colOff>
      <xdr:row>27</xdr:row>
      <xdr:rowOff>9752</xdr:rowOff>
    </xdr:from>
    <xdr:to>
      <xdr:col>13</xdr:col>
      <xdr:colOff>376784</xdr:colOff>
      <xdr:row>42</xdr:row>
      <xdr:rowOff>0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29149" y="6162902"/>
          <a:ext cx="5386935" cy="2847748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104774</xdr:colOff>
      <xdr:row>27</xdr:row>
      <xdr:rowOff>10118</xdr:rowOff>
    </xdr:from>
    <xdr:to>
      <xdr:col>5</xdr:col>
      <xdr:colOff>248103</xdr:colOff>
      <xdr:row>42</xdr:row>
      <xdr:rowOff>9525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024" r="6795"/>
        <a:stretch/>
      </xdr:blipFill>
      <xdr:spPr>
        <a:xfrm>
          <a:off x="104774" y="6163268"/>
          <a:ext cx="4353379" cy="285690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133349</xdr:colOff>
      <xdr:row>26</xdr:row>
      <xdr:rowOff>4985</xdr:rowOff>
    </xdr:from>
    <xdr:to>
      <xdr:col>12</xdr:col>
      <xdr:colOff>647700</xdr:colOff>
      <xdr:row>39</xdr:row>
      <xdr:rowOff>4629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67324" y="6120035"/>
          <a:ext cx="4648201" cy="2476144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123824</xdr:colOff>
      <xdr:row>26</xdr:row>
      <xdr:rowOff>9525</xdr:rowOff>
    </xdr:from>
    <xdr:to>
      <xdr:col>5</xdr:col>
      <xdr:colOff>1020422</xdr:colOff>
      <xdr:row>39</xdr:row>
      <xdr:rowOff>9525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4" y="6124575"/>
          <a:ext cx="4973298" cy="24765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25</xdr:row>
      <xdr:rowOff>189965</xdr:rowOff>
    </xdr:from>
    <xdr:to>
      <xdr:col>4</xdr:col>
      <xdr:colOff>461205</xdr:colOff>
      <xdr:row>42</xdr:row>
      <xdr:rowOff>0</xdr:rowOff>
    </xdr:to>
    <xdr:pic>
      <xdr:nvPicPr>
        <xdr:cNvPr id="5" name="Paveikslėlis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1" y="5914490"/>
          <a:ext cx="3623504" cy="3048535"/>
        </a:xfrm>
        <a:prstGeom prst="rect">
          <a:avLst/>
        </a:prstGeom>
      </xdr:spPr>
    </xdr:pic>
    <xdr:clientData/>
  </xdr:twoCellAnchor>
  <xdr:twoCellAnchor editAs="oneCell">
    <xdr:from>
      <xdr:col>4</xdr:col>
      <xdr:colOff>609600</xdr:colOff>
      <xdr:row>26</xdr:row>
      <xdr:rowOff>9525</xdr:rowOff>
    </xdr:from>
    <xdr:to>
      <xdr:col>10</xdr:col>
      <xdr:colOff>477313</xdr:colOff>
      <xdr:row>42</xdr:row>
      <xdr:rowOff>2511</xdr:rowOff>
    </xdr:to>
    <xdr:pic>
      <xdr:nvPicPr>
        <xdr:cNvPr id="6" name="Paveikslėlis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0" y="5924550"/>
          <a:ext cx="5335063" cy="304098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26</xdr:row>
      <xdr:rowOff>3063</xdr:rowOff>
    </xdr:from>
    <xdr:to>
      <xdr:col>17</xdr:col>
      <xdr:colOff>390525</xdr:colOff>
      <xdr:row>41</xdr:row>
      <xdr:rowOff>189645</xdr:rowOff>
    </xdr:to>
    <xdr:pic>
      <xdr:nvPicPr>
        <xdr:cNvPr id="7" name="Paveikslėlis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53550" y="5918088"/>
          <a:ext cx="5210175" cy="304408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24</xdr:row>
      <xdr:rowOff>190499</xdr:rowOff>
    </xdr:from>
    <xdr:to>
      <xdr:col>7</xdr:col>
      <xdr:colOff>35264</xdr:colOff>
      <xdr:row>44</xdr:row>
      <xdr:rowOff>9524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5534024"/>
          <a:ext cx="5464514" cy="3629025"/>
        </a:xfrm>
        <a:prstGeom prst="rect">
          <a:avLst/>
        </a:prstGeom>
      </xdr:spPr>
    </xdr:pic>
    <xdr:clientData/>
  </xdr:twoCellAnchor>
  <xdr:twoCellAnchor editAs="oneCell">
    <xdr:from>
      <xdr:col>7</xdr:col>
      <xdr:colOff>222493</xdr:colOff>
      <xdr:row>25</xdr:row>
      <xdr:rowOff>9525</xdr:rowOff>
    </xdr:from>
    <xdr:to>
      <xdr:col>16</xdr:col>
      <xdr:colOff>489394</xdr:colOff>
      <xdr:row>44</xdr:row>
      <xdr:rowOff>9525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46993" y="5543550"/>
          <a:ext cx="5800926" cy="361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2:O31"/>
  <sheetViews>
    <sheetView workbookViewId="0">
      <selection activeCell="O25" sqref="O25"/>
    </sheetView>
  </sheetViews>
  <sheetFormatPr defaultRowHeight="15" x14ac:dyDescent="0.25"/>
  <cols>
    <col min="1" max="1" width="5.5703125" customWidth="1"/>
    <col min="2" max="2" width="27" customWidth="1"/>
    <col min="3" max="3" width="9.5703125" customWidth="1"/>
    <col min="4" max="4" width="9" customWidth="1"/>
    <col min="5" max="5" width="8.42578125" customWidth="1"/>
    <col min="6" max="6" width="9.140625" customWidth="1"/>
    <col min="7" max="7" width="9.7109375" customWidth="1"/>
    <col min="8" max="8" width="8" customWidth="1"/>
    <col min="9" max="9" width="8.28515625" customWidth="1"/>
    <col min="10" max="10" width="8" customWidth="1"/>
    <col min="11" max="11" width="9.5703125" customWidth="1"/>
    <col min="12" max="12" width="10.7109375" customWidth="1"/>
    <col min="13" max="13" width="8.7109375" customWidth="1"/>
    <col min="14" max="14" width="11.140625" customWidth="1"/>
    <col min="15" max="15" width="14" customWidth="1"/>
  </cols>
  <sheetData>
    <row r="2" spans="1:15" x14ac:dyDescent="0.25">
      <c r="A2" s="109" t="s">
        <v>83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4" spans="1:15" ht="15.95" customHeight="1" x14ac:dyDescent="0.25">
      <c r="A4" s="100" t="s">
        <v>0</v>
      </c>
      <c r="B4" s="100" t="s">
        <v>1</v>
      </c>
      <c r="C4" s="103" t="s">
        <v>41</v>
      </c>
      <c r="D4" s="104"/>
      <c r="E4" s="104"/>
      <c r="F4" s="105"/>
      <c r="G4" s="103" t="s">
        <v>82</v>
      </c>
      <c r="H4" s="104"/>
      <c r="I4" s="104"/>
      <c r="J4" s="104"/>
      <c r="K4" s="117" t="s">
        <v>35</v>
      </c>
      <c r="L4" s="117"/>
      <c r="M4" s="117"/>
      <c r="N4" s="100" t="s">
        <v>33</v>
      </c>
      <c r="O4" s="100" t="s">
        <v>34</v>
      </c>
    </row>
    <row r="5" spans="1:15" ht="15.95" customHeight="1" x14ac:dyDescent="0.25">
      <c r="A5" s="101"/>
      <c r="B5" s="101"/>
      <c r="C5" s="106"/>
      <c r="D5" s="107"/>
      <c r="E5" s="107"/>
      <c r="F5" s="108"/>
      <c r="G5" s="106"/>
      <c r="H5" s="107"/>
      <c r="I5" s="107"/>
      <c r="J5" s="107"/>
      <c r="K5" s="117"/>
      <c r="L5" s="117"/>
      <c r="M5" s="117"/>
      <c r="N5" s="101"/>
      <c r="O5" s="101"/>
    </row>
    <row r="6" spans="1:15" ht="15.95" customHeight="1" x14ac:dyDescent="0.25">
      <c r="A6" s="102"/>
      <c r="B6" s="102"/>
      <c r="C6" s="1" t="s">
        <v>2</v>
      </c>
      <c r="D6" s="1" t="s">
        <v>3</v>
      </c>
      <c r="E6" s="1" t="s">
        <v>4</v>
      </c>
      <c r="F6" s="2" t="s">
        <v>5</v>
      </c>
      <c r="G6" s="1" t="s">
        <v>6</v>
      </c>
      <c r="H6" s="1" t="s">
        <v>3</v>
      </c>
      <c r="I6" s="1" t="s">
        <v>4</v>
      </c>
      <c r="J6" s="2" t="s">
        <v>5</v>
      </c>
      <c r="K6" s="2" t="s">
        <v>6</v>
      </c>
      <c r="L6" s="2" t="s">
        <v>4</v>
      </c>
      <c r="M6" s="2" t="s">
        <v>5</v>
      </c>
      <c r="N6" s="102"/>
      <c r="O6" s="102"/>
    </row>
    <row r="7" spans="1:15" ht="15.95" customHeight="1" x14ac:dyDescent="0.25">
      <c r="A7" s="116" t="s">
        <v>7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</row>
    <row r="8" spans="1:15" ht="15.95" customHeight="1" x14ac:dyDescent="0.25">
      <c r="A8" s="3" t="s">
        <v>8</v>
      </c>
      <c r="B8" s="4" t="s">
        <v>9</v>
      </c>
      <c r="C8" s="70">
        <v>152237</v>
      </c>
      <c r="D8" s="70">
        <v>152237</v>
      </c>
      <c r="E8" s="70">
        <v>152237</v>
      </c>
      <c r="F8" s="9" t="s">
        <v>11</v>
      </c>
      <c r="G8" s="74">
        <f>14928/152237*100</f>
        <v>9.805763382095023</v>
      </c>
      <c r="H8" s="74">
        <f>3548/152237*100</f>
        <v>2.3305766666447707</v>
      </c>
      <c r="I8" s="74">
        <f>(11380+1261)/152237*100</f>
        <v>8.3035004630937284</v>
      </c>
      <c r="J8" s="74" t="s">
        <v>11</v>
      </c>
      <c r="K8" s="76">
        <f>C8/12</f>
        <v>12686.416666666666</v>
      </c>
      <c r="L8" s="76">
        <f>E8/11</f>
        <v>13839.727272727272</v>
      </c>
      <c r="M8" s="76" t="s">
        <v>11</v>
      </c>
      <c r="N8" s="78">
        <f>14928/C8</f>
        <v>9.805763382095023E-2</v>
      </c>
      <c r="O8" s="74">
        <f>58/14928*1000</f>
        <v>3.885316184351554</v>
      </c>
    </row>
    <row r="9" spans="1:15" ht="15.95" customHeight="1" x14ac:dyDescent="0.25">
      <c r="A9" s="3" t="s">
        <v>12</v>
      </c>
      <c r="B9" s="4" t="s">
        <v>13</v>
      </c>
      <c r="C9" s="71">
        <v>59419</v>
      </c>
      <c r="D9" s="9">
        <v>15072</v>
      </c>
      <c r="E9" s="9">
        <v>1233</v>
      </c>
      <c r="F9" s="9">
        <v>43114</v>
      </c>
      <c r="G9" s="74">
        <f>10394/59419*100</f>
        <v>17.492721183459835</v>
      </c>
      <c r="H9" s="74">
        <f>2880/15072*100</f>
        <v>19.108280254777071</v>
      </c>
      <c r="I9" s="74">
        <f>657/1233*100</f>
        <v>53.284671532846716</v>
      </c>
      <c r="J9" s="74">
        <f>6857/43114*100</f>
        <v>15.904346615948416</v>
      </c>
      <c r="K9" s="76">
        <f>C9/25</f>
        <v>2376.7600000000002</v>
      </c>
      <c r="L9" s="9">
        <f>E9/1</f>
        <v>1233</v>
      </c>
      <c r="M9" s="76">
        <f>F9/22</f>
        <v>1959.7272727272727</v>
      </c>
      <c r="N9" s="78">
        <f>10394/C9</f>
        <v>0.17492721183459836</v>
      </c>
      <c r="O9" s="78">
        <f>47/10394*1000</f>
        <v>4.5218395228016162</v>
      </c>
    </row>
    <row r="10" spans="1:15" ht="15.95" customHeight="1" x14ac:dyDescent="0.25">
      <c r="A10" s="3" t="s">
        <v>14</v>
      </c>
      <c r="B10" s="4" t="s">
        <v>15</v>
      </c>
      <c r="C10" s="70">
        <v>37404</v>
      </c>
      <c r="D10" s="9">
        <v>17046</v>
      </c>
      <c r="E10" s="9">
        <v>1251</v>
      </c>
      <c r="F10" s="9">
        <v>19107</v>
      </c>
      <c r="G10" s="74">
        <f>5647/37404*100</f>
        <v>15.097315795102128</v>
      </c>
      <c r="H10" s="74">
        <f>3571/17046*100</f>
        <v>20.949196292385309</v>
      </c>
      <c r="I10" s="76">
        <f>306/1251*100</f>
        <v>24.46043165467626</v>
      </c>
      <c r="J10" s="76">
        <f>1770/19107*100</f>
        <v>9.263620662584394</v>
      </c>
      <c r="K10" s="76">
        <f>C10/20</f>
        <v>1870.2</v>
      </c>
      <c r="L10" s="9">
        <f>E10/1</f>
        <v>1251</v>
      </c>
      <c r="M10" s="76">
        <f>F10/18</f>
        <v>1061.5</v>
      </c>
      <c r="N10" s="78">
        <f>5647/C10</f>
        <v>0.15097315795102129</v>
      </c>
      <c r="O10" s="74">
        <f>42/5647*1000</f>
        <v>7.4375774747653622</v>
      </c>
    </row>
    <row r="11" spans="1:15" ht="15.95" customHeight="1" x14ac:dyDescent="0.25">
      <c r="A11" s="3" t="s">
        <v>16</v>
      </c>
      <c r="B11" s="4" t="s">
        <v>17</v>
      </c>
      <c r="C11" s="72">
        <v>4066</v>
      </c>
      <c r="D11" s="9">
        <v>3146</v>
      </c>
      <c r="E11" s="9">
        <v>920</v>
      </c>
      <c r="F11" s="9" t="s">
        <v>11</v>
      </c>
      <c r="G11" s="74">
        <f>1407/4066*100</f>
        <v>34.60403344810625</v>
      </c>
      <c r="H11" s="74">
        <f>738/3146*100</f>
        <v>23.458359821996186</v>
      </c>
      <c r="I11" s="74">
        <f>669/920*100</f>
        <v>72.717391304347828</v>
      </c>
      <c r="J11" s="74" t="s">
        <v>11</v>
      </c>
      <c r="K11" s="76">
        <f>C11/3</f>
        <v>1355.3333333333333</v>
      </c>
      <c r="L11" s="9">
        <f>E11/2</f>
        <v>460</v>
      </c>
      <c r="M11" s="76" t="s">
        <v>11</v>
      </c>
      <c r="N11" s="78">
        <f>1407/C11</f>
        <v>0.34604033448106247</v>
      </c>
      <c r="O11" s="74">
        <f>9/1407*1000</f>
        <v>6.3965884861407245</v>
      </c>
    </row>
    <row r="12" spans="1:15" ht="15.95" customHeight="1" x14ac:dyDescent="0.25">
      <c r="A12" s="3" t="s">
        <v>18</v>
      </c>
      <c r="B12" s="4" t="s">
        <v>19</v>
      </c>
      <c r="C12" s="72">
        <v>16976</v>
      </c>
      <c r="D12" s="3">
        <v>16976</v>
      </c>
      <c r="E12" s="9" t="s">
        <v>11</v>
      </c>
      <c r="F12" s="9" t="s">
        <v>11</v>
      </c>
      <c r="G12" s="74">
        <f>4968/16976*100</f>
        <v>29.264844486333647</v>
      </c>
      <c r="H12" s="74">
        <f>4968/16976*100</f>
        <v>29.264844486333647</v>
      </c>
      <c r="I12" s="74" t="s">
        <v>11</v>
      </c>
      <c r="J12" s="74" t="s">
        <v>11</v>
      </c>
      <c r="K12" s="76">
        <f>C12/3</f>
        <v>5658.666666666667</v>
      </c>
      <c r="L12" s="9" t="s">
        <v>11</v>
      </c>
      <c r="M12" s="76" t="s">
        <v>11</v>
      </c>
      <c r="N12" s="78">
        <f>4968/C12</f>
        <v>0.29264844486333647</v>
      </c>
      <c r="O12" s="78">
        <f>22/4968*1000</f>
        <v>4.4283413848631241</v>
      </c>
    </row>
    <row r="13" spans="1:15" ht="15.95" customHeight="1" x14ac:dyDescent="0.25">
      <c r="A13" s="3" t="s">
        <v>20</v>
      </c>
      <c r="B13" s="4" t="s">
        <v>21</v>
      </c>
      <c r="C13" s="72">
        <v>15831</v>
      </c>
      <c r="D13" s="9">
        <v>5422</v>
      </c>
      <c r="E13" s="9" t="s">
        <v>10</v>
      </c>
      <c r="F13" s="9">
        <v>10409</v>
      </c>
      <c r="G13" s="74">
        <f>2197/15831*100</f>
        <v>13.877834628261008</v>
      </c>
      <c r="H13" s="74">
        <f>876/5422*100</f>
        <v>16.156399852452967</v>
      </c>
      <c r="I13" s="74" t="s">
        <v>10</v>
      </c>
      <c r="J13" s="74">
        <f>1241/10409*100</f>
        <v>11.922374867902777</v>
      </c>
      <c r="K13" s="76">
        <f>C13/20</f>
        <v>791.55</v>
      </c>
      <c r="L13" s="9" t="s">
        <v>10</v>
      </c>
      <c r="M13" s="76">
        <f>F13/13</f>
        <v>800.69230769230774</v>
      </c>
      <c r="N13" s="78">
        <f>2197/C13</f>
        <v>0.13877834628261007</v>
      </c>
      <c r="O13" s="78">
        <f>32/2197*1000</f>
        <v>14.565316340464269</v>
      </c>
    </row>
    <row r="14" spans="1:15" ht="15.95" customHeight="1" x14ac:dyDescent="0.25">
      <c r="A14" s="3" t="s">
        <v>22</v>
      </c>
      <c r="B14" s="4" t="s">
        <v>23</v>
      </c>
      <c r="C14" s="72">
        <v>38493</v>
      </c>
      <c r="D14" s="9">
        <v>15816</v>
      </c>
      <c r="E14" s="9" t="s">
        <v>11</v>
      </c>
      <c r="F14" s="9">
        <v>22677</v>
      </c>
      <c r="G14" s="74">
        <f>5902/38493*100</f>
        <v>15.332657885849374</v>
      </c>
      <c r="H14" s="74">
        <f>1642/15816*100</f>
        <v>10.381891755184624</v>
      </c>
      <c r="I14" s="74" t="s">
        <v>11</v>
      </c>
      <c r="J14" s="74">
        <f>4260/22677*100</f>
        <v>18.785553644661992</v>
      </c>
      <c r="K14" s="76">
        <f>C14/22</f>
        <v>1749.6818181818182</v>
      </c>
      <c r="L14" s="9" t="s">
        <v>11</v>
      </c>
      <c r="M14" s="76">
        <f>F14/21</f>
        <v>1079.8571428571429</v>
      </c>
      <c r="N14" s="78">
        <f>5902/C14</f>
        <v>0.15332657885849374</v>
      </c>
      <c r="O14" s="74">
        <f>55/5902*1000</f>
        <v>9.3188749576414782</v>
      </c>
    </row>
    <row r="15" spans="1:15" ht="15.95" customHeight="1" x14ac:dyDescent="0.25">
      <c r="A15" s="114" t="s">
        <v>30</v>
      </c>
      <c r="B15" s="115"/>
      <c r="C15" s="43">
        <f>SUM(C8:C14)</f>
        <v>324426</v>
      </c>
      <c r="D15" s="49">
        <f>SUM(D8:D14)</f>
        <v>225715</v>
      </c>
      <c r="E15" s="49">
        <f>SUM(E9:E11)</f>
        <v>3404</v>
      </c>
      <c r="F15" s="49">
        <f>SUM(F9:F14)</f>
        <v>95307</v>
      </c>
      <c r="G15" s="57">
        <f>SUM(G8:G14)</f>
        <v>135.47517080920727</v>
      </c>
      <c r="H15" s="57">
        <f>SUM(H8:H14)</f>
        <v>121.64954912977457</v>
      </c>
      <c r="I15" s="57">
        <f>SUM(I9:I11)</f>
        <v>150.46249449187081</v>
      </c>
      <c r="J15" s="57">
        <f>SUM(J9:J14)</f>
        <v>55.875895791097577</v>
      </c>
      <c r="K15" s="50">
        <f>SUM(K8:K14)</f>
        <v>26488.608484848486</v>
      </c>
      <c r="L15" s="49">
        <f>SUM(L9:L11)</f>
        <v>2944</v>
      </c>
      <c r="M15" s="50">
        <f>SUM(M9:M14)</f>
        <v>4901.7767232767237</v>
      </c>
      <c r="N15" s="59">
        <f>SUM(N8:N14)</f>
        <v>1.3547517080920723</v>
      </c>
      <c r="O15" s="57">
        <f>SUM(O8:O14)</f>
        <v>50.553854351028129</v>
      </c>
    </row>
    <row r="16" spans="1:15" ht="15.95" customHeight="1" x14ac:dyDescent="0.25">
      <c r="A16" s="112" t="s">
        <v>32</v>
      </c>
      <c r="B16" s="113"/>
      <c r="C16" s="44">
        <f>C15/105</f>
        <v>3089.7714285714287</v>
      </c>
      <c r="D16" s="50">
        <f>D15/7</f>
        <v>32245</v>
      </c>
      <c r="E16" s="50">
        <f>E15/16</f>
        <v>212.75</v>
      </c>
      <c r="F16" s="50">
        <f>F15/74</f>
        <v>1287.9324324324325</v>
      </c>
      <c r="G16" s="57">
        <f>G15/105</f>
        <v>1.2902397219924502</v>
      </c>
      <c r="H16" s="57">
        <f>H15/7</f>
        <v>17.378507018539224</v>
      </c>
      <c r="I16" s="57">
        <f>I15/16</f>
        <v>9.4039059057419259</v>
      </c>
      <c r="J16" s="57">
        <f>J15/74</f>
        <v>0.75507967285266997</v>
      </c>
      <c r="K16" s="50">
        <f>K15/105</f>
        <v>252.27246176046177</v>
      </c>
      <c r="L16" s="49">
        <f>L15/16</f>
        <v>184</v>
      </c>
      <c r="M16" s="50">
        <f>M15/74</f>
        <v>66.240225990225994</v>
      </c>
      <c r="N16" s="59">
        <f>N15/105</f>
        <v>1.2902397219924498E-2</v>
      </c>
      <c r="O16" s="57">
        <f>O15/105</f>
        <v>0.48146527953360124</v>
      </c>
    </row>
    <row r="17" spans="1:15" ht="15.95" customHeight="1" x14ac:dyDescent="0.25">
      <c r="A17" s="116" t="s">
        <v>24</v>
      </c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</row>
    <row r="18" spans="1:15" ht="15.95" customHeight="1" x14ac:dyDescent="0.25">
      <c r="A18" s="3" t="s">
        <v>8</v>
      </c>
      <c r="B18" s="4" t="s">
        <v>25</v>
      </c>
      <c r="C18" s="72">
        <v>24668</v>
      </c>
      <c r="D18" s="15">
        <v>10051</v>
      </c>
      <c r="E18" s="15">
        <v>842</v>
      </c>
      <c r="F18" s="15">
        <v>13775</v>
      </c>
      <c r="G18" s="75">
        <f>3863/24668*100</f>
        <v>15.659964326252634</v>
      </c>
      <c r="H18" s="75">
        <f>1591/10051*100</f>
        <v>15.82927071933141</v>
      </c>
      <c r="I18" s="75">
        <f>121/842*100</f>
        <v>14.370546318289787</v>
      </c>
      <c r="J18" s="75">
        <f>2151/13775*100</f>
        <v>15.61524500907441</v>
      </c>
      <c r="K18" s="77">
        <f>C18/25</f>
        <v>986.72</v>
      </c>
      <c r="L18" s="15">
        <f>E18/1</f>
        <v>842</v>
      </c>
      <c r="M18" s="77">
        <f>F18/23</f>
        <v>598.91304347826087</v>
      </c>
      <c r="N18" s="79">
        <f>3863/C18</f>
        <v>0.15659964326252634</v>
      </c>
      <c r="O18" s="75">
        <f>41/3863*1000</f>
        <v>10.613512813875227</v>
      </c>
    </row>
    <row r="19" spans="1:15" ht="15.95" customHeight="1" x14ac:dyDescent="0.25">
      <c r="A19" s="3" t="s">
        <v>12</v>
      </c>
      <c r="B19" s="4" t="s">
        <v>26</v>
      </c>
      <c r="C19" s="72">
        <v>7236</v>
      </c>
      <c r="D19" s="15">
        <v>1536</v>
      </c>
      <c r="E19" s="15" t="s">
        <v>11</v>
      </c>
      <c r="F19" s="15">
        <v>5700</v>
      </c>
      <c r="G19" s="75">
        <f>1347/7236*100</f>
        <v>18.615257048092872</v>
      </c>
      <c r="H19" s="74">
        <f>286/1536*100</f>
        <v>18.619791666666664</v>
      </c>
      <c r="I19" s="75" t="s">
        <v>11</v>
      </c>
      <c r="J19" s="75">
        <f>1061/5700*100</f>
        <v>18.614035087719298</v>
      </c>
      <c r="K19" s="77">
        <f>C19/9</f>
        <v>804</v>
      </c>
      <c r="L19" s="15" t="s">
        <v>11</v>
      </c>
      <c r="M19" s="77">
        <f>F19/8</f>
        <v>712.5</v>
      </c>
      <c r="N19" s="79">
        <f>1347/C19</f>
        <v>0.1861525704809287</v>
      </c>
      <c r="O19" s="75">
        <f>15/1347*1000</f>
        <v>11.135857461024498</v>
      </c>
    </row>
    <row r="20" spans="1:15" ht="15.95" customHeight="1" x14ac:dyDescent="0.25">
      <c r="A20" s="3" t="s">
        <v>14</v>
      </c>
      <c r="B20" s="4" t="s">
        <v>27</v>
      </c>
      <c r="C20" s="72">
        <v>21586</v>
      </c>
      <c r="D20" s="15">
        <v>4673</v>
      </c>
      <c r="E20" s="15" t="s">
        <v>11</v>
      </c>
      <c r="F20" s="15">
        <v>16913</v>
      </c>
      <c r="G20" s="75">
        <f>4251/21586*100</f>
        <v>19.693319744278696</v>
      </c>
      <c r="H20" s="75">
        <f>1368/4673*100</f>
        <v>29.274555959768882</v>
      </c>
      <c r="I20" s="75" t="s">
        <v>11</v>
      </c>
      <c r="J20" s="75">
        <f>2883/16913*100</f>
        <v>17.046059244368237</v>
      </c>
      <c r="K20" s="77">
        <f>C20/24</f>
        <v>899.41666666666663</v>
      </c>
      <c r="L20" s="15" t="s">
        <v>11</v>
      </c>
      <c r="M20" s="77">
        <f>F20/23</f>
        <v>735.3478260869565</v>
      </c>
      <c r="N20" s="79">
        <f>4251/C20</f>
        <v>0.19693319744278698</v>
      </c>
      <c r="O20" s="79">
        <f>36/4521*1000</f>
        <v>7.9628400796284016</v>
      </c>
    </row>
    <row r="21" spans="1:15" ht="15.95" customHeight="1" x14ac:dyDescent="0.25">
      <c r="A21" s="3" t="s">
        <v>16</v>
      </c>
      <c r="B21" s="4" t="s">
        <v>28</v>
      </c>
      <c r="C21" s="72">
        <v>37403</v>
      </c>
      <c r="D21" s="15">
        <v>20956</v>
      </c>
      <c r="E21" s="15">
        <v>1402</v>
      </c>
      <c r="F21" s="15">
        <v>15045</v>
      </c>
      <c r="G21" s="75">
        <f>6432/37403*100</f>
        <v>17.196481565649815</v>
      </c>
      <c r="H21" s="75">
        <f>6432/20956*100</f>
        <v>30.692880320671883</v>
      </c>
      <c r="I21" s="76">
        <f>0/1402*100</f>
        <v>0</v>
      </c>
      <c r="J21" s="76">
        <f>0/15045*100</f>
        <v>0</v>
      </c>
      <c r="K21" s="77">
        <f>C21/29</f>
        <v>1289.7586206896551</v>
      </c>
      <c r="L21" s="15">
        <f>E21/2</f>
        <v>701</v>
      </c>
      <c r="M21" s="77">
        <f>F21/24</f>
        <v>626.875</v>
      </c>
      <c r="N21" s="79">
        <f>6432/C21</f>
        <v>0.17196481565649815</v>
      </c>
      <c r="O21" s="75">
        <f>50/6432*1000</f>
        <v>7.7736318407960203</v>
      </c>
    </row>
    <row r="22" spans="1:15" ht="15.95" customHeight="1" x14ac:dyDescent="0.25">
      <c r="A22" s="114" t="s">
        <v>30</v>
      </c>
      <c r="B22" s="115"/>
      <c r="C22" s="45">
        <f t="shared" ref="C22:O22" si="0">SUM(C18:C21)</f>
        <v>90893</v>
      </c>
      <c r="D22" s="51">
        <f t="shared" si="0"/>
        <v>37216</v>
      </c>
      <c r="E22" s="51">
        <f t="shared" si="0"/>
        <v>2244</v>
      </c>
      <c r="F22" s="51">
        <f t="shared" si="0"/>
        <v>51433</v>
      </c>
      <c r="G22" s="19">
        <f t="shared" si="0"/>
        <v>71.165022684274021</v>
      </c>
      <c r="H22" s="19">
        <f t="shared" si="0"/>
        <v>94.416498666438841</v>
      </c>
      <c r="I22" s="19">
        <f t="shared" si="0"/>
        <v>14.370546318289787</v>
      </c>
      <c r="J22" s="19">
        <f t="shared" si="0"/>
        <v>51.275339341161946</v>
      </c>
      <c r="K22" s="19">
        <f t="shared" si="0"/>
        <v>3979.8952873563221</v>
      </c>
      <c r="L22" s="51">
        <f t="shared" si="0"/>
        <v>1543</v>
      </c>
      <c r="M22" s="19">
        <f t="shared" si="0"/>
        <v>2673.6358695652175</v>
      </c>
      <c r="N22" s="36">
        <f t="shared" si="0"/>
        <v>0.71165022684274015</v>
      </c>
      <c r="O22" s="37">
        <f t="shared" si="0"/>
        <v>37.485842195324146</v>
      </c>
    </row>
    <row r="23" spans="1:15" ht="15.95" customHeight="1" x14ac:dyDescent="0.25">
      <c r="A23" s="112" t="s">
        <v>32</v>
      </c>
      <c r="B23" s="113"/>
      <c r="C23" s="96">
        <f>C22/87</f>
        <v>1044.7471264367816</v>
      </c>
      <c r="D23" s="37">
        <f>D22/4</f>
        <v>9304</v>
      </c>
      <c r="E23" s="37">
        <f>E22/3</f>
        <v>748</v>
      </c>
      <c r="F23" s="37">
        <f>F22/78</f>
        <v>659.39743589743591</v>
      </c>
      <c r="G23" s="37">
        <f>G22/87</f>
        <v>0.81798876648590824</v>
      </c>
      <c r="H23" s="37">
        <f>H22/4</f>
        <v>23.60412466660971</v>
      </c>
      <c r="I23" s="37">
        <f>I22/3</f>
        <v>4.7901821060965952</v>
      </c>
      <c r="J23" s="37">
        <f>J22/78</f>
        <v>0.65737614539951217</v>
      </c>
      <c r="K23" s="37">
        <f>K22/87</f>
        <v>45.745922843176118</v>
      </c>
      <c r="L23" s="37">
        <f>L22/3</f>
        <v>514.33333333333337</v>
      </c>
      <c r="M23" s="37">
        <f>M22/78</f>
        <v>34.277382943143813</v>
      </c>
      <c r="N23" s="37">
        <f>N22/87</f>
        <v>8.179887664859083E-3</v>
      </c>
      <c r="O23" s="37">
        <f>O22/87</f>
        <v>0.43087174937154193</v>
      </c>
    </row>
    <row r="24" spans="1:15" ht="27.75" customHeight="1" x14ac:dyDescent="0.25">
      <c r="A24" s="110" t="s">
        <v>29</v>
      </c>
      <c r="B24" s="111"/>
      <c r="C24" s="47">
        <f>SUM(C15,C22)</f>
        <v>415319</v>
      </c>
      <c r="D24" s="47">
        <f>SUM(D15,D22)</f>
        <v>262931</v>
      </c>
      <c r="E24" s="47">
        <f>SUM(E15,E22)</f>
        <v>5648</v>
      </c>
      <c r="F24" s="47">
        <f>SUM(F15,F22)</f>
        <v>146740</v>
      </c>
      <c r="G24" s="58">
        <f>SUM(G15,G22)</f>
        <v>206.64019349348129</v>
      </c>
      <c r="H24" s="58">
        <f>H15+H22</f>
        <v>216.06604779621341</v>
      </c>
      <c r="I24" s="58">
        <f t="shared" ref="I24:O24" si="1">SUM(I15,I22)</f>
        <v>164.83304081016061</v>
      </c>
      <c r="J24" s="58">
        <f t="shared" si="1"/>
        <v>107.15123513225953</v>
      </c>
      <c r="K24" s="48">
        <f t="shared" si="1"/>
        <v>30468.503772204807</v>
      </c>
      <c r="L24" s="47">
        <f t="shared" si="1"/>
        <v>4487</v>
      </c>
      <c r="M24" s="48">
        <f t="shared" si="1"/>
        <v>7575.4125928419417</v>
      </c>
      <c r="N24" s="60">
        <f t="shared" si="1"/>
        <v>2.0664019349348126</v>
      </c>
      <c r="O24" s="48">
        <f t="shared" si="1"/>
        <v>88.039696546352275</v>
      </c>
    </row>
    <row r="25" spans="1:15" ht="31.5" customHeight="1" x14ac:dyDescent="0.25">
      <c r="A25" s="110" t="s">
        <v>31</v>
      </c>
      <c r="B25" s="111"/>
      <c r="C25" s="48">
        <f>C24/192</f>
        <v>2163.1197916666665</v>
      </c>
      <c r="D25" s="48">
        <f>D24/11</f>
        <v>23902.81818181818</v>
      </c>
      <c r="E25" s="48">
        <f>E24/19</f>
        <v>297.26315789473682</v>
      </c>
      <c r="F25" s="48">
        <f>F24/152</f>
        <v>965.39473684210532</v>
      </c>
      <c r="G25" s="58">
        <f>G24/11</f>
        <v>18.785472135771027</v>
      </c>
      <c r="H25" s="58">
        <f>H24/11</f>
        <v>19.642367981473946</v>
      </c>
      <c r="I25" s="58">
        <f>I24/7</f>
        <v>23.547577258594373</v>
      </c>
      <c r="J25" s="58">
        <f>J24/8</f>
        <v>13.393904391532441</v>
      </c>
      <c r="K25" s="48">
        <f>K24/11</f>
        <v>2769.8639792913459</v>
      </c>
      <c r="L25" s="48">
        <f>L24/7</f>
        <v>641</v>
      </c>
      <c r="M25" s="48">
        <f>M24/8</f>
        <v>946.92657410524271</v>
      </c>
      <c r="N25" s="60">
        <f>N24/11</f>
        <v>0.18785472135771022</v>
      </c>
      <c r="O25" s="58">
        <f>O24/11</f>
        <v>8.0036087769411157</v>
      </c>
    </row>
    <row r="27" spans="1:15" x14ac:dyDescent="0.25">
      <c r="A27" s="99" t="s">
        <v>84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</row>
    <row r="28" spans="1:15" x14ac:dyDescent="0.25">
      <c r="A28" s="99" t="s">
        <v>40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</row>
    <row r="29" spans="1:15" x14ac:dyDescent="0.25">
      <c r="A29" s="98" t="s">
        <v>81</v>
      </c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</row>
    <row r="30" spans="1:15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</sheetData>
  <mergeCells count="19">
    <mergeCell ref="A2:O2"/>
    <mergeCell ref="N4:N6"/>
    <mergeCell ref="O4:O6"/>
    <mergeCell ref="A25:B25"/>
    <mergeCell ref="A16:B16"/>
    <mergeCell ref="A23:B23"/>
    <mergeCell ref="A15:B15"/>
    <mergeCell ref="A22:B22"/>
    <mergeCell ref="A24:B24"/>
    <mergeCell ref="A7:O7"/>
    <mergeCell ref="A17:O17"/>
    <mergeCell ref="K4:M5"/>
    <mergeCell ref="A29:O29"/>
    <mergeCell ref="A27:O27"/>
    <mergeCell ref="A28:O28"/>
    <mergeCell ref="A4:A6"/>
    <mergeCell ref="B4:B6"/>
    <mergeCell ref="C4:F5"/>
    <mergeCell ref="G4:J5"/>
  </mergeCells>
  <pageMargins left="0.70000000000000007" right="0.70000000000000007" top="0.75" bottom="0.75" header="0.30000000000000004" footer="0.30000000000000004"/>
  <pageSetup orientation="portrait" r:id="rId1"/>
  <ignoredErrors>
    <ignoredError sqref="M19 H2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2:V25"/>
  <sheetViews>
    <sheetView topLeftCell="A4" workbookViewId="0">
      <selection activeCell="U25" sqref="U25"/>
    </sheetView>
  </sheetViews>
  <sheetFormatPr defaultRowHeight="15" x14ac:dyDescent="0.25"/>
  <cols>
    <col min="1" max="1" width="5.5703125" customWidth="1"/>
    <col min="2" max="2" width="27.140625" customWidth="1"/>
    <col min="3" max="3" width="8.85546875" customWidth="1"/>
    <col min="4" max="4" width="7.85546875" customWidth="1"/>
    <col min="5" max="5" width="7.7109375" customWidth="1"/>
    <col min="6" max="6" width="8.42578125" customWidth="1"/>
    <col min="7" max="7" width="7.85546875" customWidth="1"/>
    <col min="8" max="8" width="8.5703125" customWidth="1"/>
    <col min="9" max="9" width="8.28515625" customWidth="1"/>
    <col min="10" max="10" width="8" customWidth="1"/>
    <col min="11" max="11" width="8.28515625" customWidth="1"/>
    <col min="12" max="12" width="8.140625" customWidth="1"/>
    <col min="13" max="14" width="8.5703125" customWidth="1"/>
    <col min="15" max="15" width="7.85546875" customWidth="1"/>
    <col min="16" max="16" width="8.28515625" customWidth="1"/>
    <col min="17" max="17" width="8.42578125" customWidth="1"/>
    <col min="18" max="19" width="8.5703125" customWidth="1"/>
    <col min="20" max="20" width="7.85546875" customWidth="1"/>
    <col min="21" max="21" width="8.5703125" customWidth="1"/>
    <col min="22" max="22" width="8.42578125" customWidth="1"/>
  </cols>
  <sheetData>
    <row r="2" spans="1:22" ht="15.75" x14ac:dyDescent="0.25">
      <c r="A2" s="121" t="s">
        <v>85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</row>
    <row r="3" spans="1:22" ht="15.75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5.75" customHeight="1" x14ac:dyDescent="0.25">
      <c r="A4" s="118" t="s">
        <v>0</v>
      </c>
      <c r="B4" s="118" t="s">
        <v>1</v>
      </c>
      <c r="C4" s="122" t="s">
        <v>86</v>
      </c>
      <c r="D4" s="123"/>
      <c r="E4" s="124"/>
      <c r="F4" s="118" t="s">
        <v>80</v>
      </c>
      <c r="G4" s="118" t="s">
        <v>36</v>
      </c>
      <c r="H4" s="122" t="s">
        <v>87</v>
      </c>
      <c r="I4" s="123"/>
      <c r="J4" s="124"/>
      <c r="K4" s="118" t="s">
        <v>80</v>
      </c>
      <c r="L4" s="118" t="s">
        <v>36</v>
      </c>
      <c r="M4" s="122" t="s">
        <v>89</v>
      </c>
      <c r="N4" s="123"/>
      <c r="O4" s="124"/>
      <c r="P4" s="118" t="s">
        <v>80</v>
      </c>
      <c r="Q4" s="118" t="s">
        <v>36</v>
      </c>
      <c r="R4" s="122" t="s">
        <v>90</v>
      </c>
      <c r="S4" s="123"/>
      <c r="T4" s="124"/>
      <c r="U4" s="118" t="s">
        <v>80</v>
      </c>
      <c r="V4" s="118" t="s">
        <v>36</v>
      </c>
    </row>
    <row r="5" spans="1:22" ht="15.75" customHeight="1" x14ac:dyDescent="0.25">
      <c r="A5" s="119"/>
      <c r="B5" s="119"/>
      <c r="C5" s="125"/>
      <c r="D5" s="126"/>
      <c r="E5" s="127"/>
      <c r="F5" s="119"/>
      <c r="G5" s="119"/>
      <c r="H5" s="125"/>
      <c r="I5" s="126"/>
      <c r="J5" s="127"/>
      <c r="K5" s="119"/>
      <c r="L5" s="119"/>
      <c r="M5" s="125"/>
      <c r="N5" s="126"/>
      <c r="O5" s="127"/>
      <c r="P5" s="119"/>
      <c r="Q5" s="119"/>
      <c r="R5" s="125"/>
      <c r="S5" s="126"/>
      <c r="T5" s="127"/>
      <c r="U5" s="119"/>
      <c r="V5" s="119"/>
    </row>
    <row r="6" spans="1:22" ht="15.75" x14ac:dyDescent="0.25">
      <c r="A6" s="119"/>
      <c r="B6" s="119"/>
      <c r="C6" s="7" t="s">
        <v>37</v>
      </c>
      <c r="D6" s="7" t="s">
        <v>38</v>
      </c>
      <c r="E6" s="7" t="s">
        <v>39</v>
      </c>
      <c r="F6" s="119"/>
      <c r="G6" s="119"/>
      <c r="H6" s="7" t="s">
        <v>37</v>
      </c>
      <c r="I6" s="7" t="s">
        <v>38</v>
      </c>
      <c r="J6" s="7" t="s">
        <v>39</v>
      </c>
      <c r="K6" s="119"/>
      <c r="L6" s="119"/>
      <c r="M6" s="7" t="s">
        <v>37</v>
      </c>
      <c r="N6" s="7" t="s">
        <v>38</v>
      </c>
      <c r="O6" s="7" t="s">
        <v>39</v>
      </c>
      <c r="P6" s="119"/>
      <c r="Q6" s="119"/>
      <c r="R6" s="7" t="s">
        <v>37</v>
      </c>
      <c r="S6" s="7" t="s">
        <v>38</v>
      </c>
      <c r="T6" s="7" t="s">
        <v>39</v>
      </c>
      <c r="U6" s="119"/>
      <c r="V6" s="119"/>
    </row>
    <row r="7" spans="1:22" ht="15.75" x14ac:dyDescent="0.25">
      <c r="A7" s="129" t="s">
        <v>7</v>
      </c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</row>
    <row r="8" spans="1:22" ht="16.5" customHeight="1" x14ac:dyDescent="0.25">
      <c r="A8" s="3" t="s">
        <v>8</v>
      </c>
      <c r="B8" s="4" t="s">
        <v>9</v>
      </c>
      <c r="C8" s="73">
        <v>14928</v>
      </c>
      <c r="D8" s="73">
        <v>11340</v>
      </c>
      <c r="E8" s="73">
        <v>3588</v>
      </c>
      <c r="F8" s="73">
        <v>21388</v>
      </c>
      <c r="G8" s="73">
        <f t="shared" ref="G8:G14" si="0">C8-F8</f>
        <v>-6460</v>
      </c>
      <c r="H8" s="73">
        <v>3548</v>
      </c>
      <c r="I8" s="73">
        <v>2564</v>
      </c>
      <c r="J8" s="73">
        <v>984</v>
      </c>
      <c r="K8" s="73">
        <v>6027</v>
      </c>
      <c r="L8" s="73">
        <f t="shared" ref="L8:L14" si="1">H8-K8</f>
        <v>-2479</v>
      </c>
      <c r="M8" s="73">
        <f>10119+1261</f>
        <v>11380</v>
      </c>
      <c r="N8" s="73">
        <f>7762+1014</f>
        <v>8776</v>
      </c>
      <c r="O8" s="73">
        <f>2357+247</f>
        <v>2604</v>
      </c>
      <c r="P8" s="73">
        <f>13891+1470</f>
        <v>15361</v>
      </c>
      <c r="Q8" s="73">
        <f>M8-P8</f>
        <v>-3981</v>
      </c>
      <c r="R8" s="73" t="s">
        <v>11</v>
      </c>
      <c r="S8" s="73" t="s">
        <v>11</v>
      </c>
      <c r="T8" s="73" t="s">
        <v>11</v>
      </c>
      <c r="U8" s="73" t="s">
        <v>11</v>
      </c>
      <c r="V8" s="73" t="s">
        <v>11</v>
      </c>
    </row>
    <row r="9" spans="1:22" ht="16.5" customHeight="1" x14ac:dyDescent="0.25">
      <c r="A9" s="3" t="s">
        <v>12</v>
      </c>
      <c r="B9" s="4" t="s">
        <v>13</v>
      </c>
      <c r="C9" s="73">
        <v>10394</v>
      </c>
      <c r="D9" s="73">
        <v>8551</v>
      </c>
      <c r="E9" s="73">
        <v>1843</v>
      </c>
      <c r="F9" s="73">
        <v>10143</v>
      </c>
      <c r="G9" s="73">
        <f t="shared" si="0"/>
        <v>251</v>
      </c>
      <c r="H9" s="73">
        <v>2880</v>
      </c>
      <c r="I9" s="73">
        <v>2432</v>
      </c>
      <c r="J9" s="73">
        <v>448</v>
      </c>
      <c r="K9" s="73">
        <v>2745</v>
      </c>
      <c r="L9" s="73">
        <f t="shared" si="1"/>
        <v>135</v>
      </c>
      <c r="M9" s="73">
        <v>657</v>
      </c>
      <c r="N9" s="73">
        <v>551</v>
      </c>
      <c r="O9" s="73">
        <v>106</v>
      </c>
      <c r="P9" s="73">
        <v>654</v>
      </c>
      <c r="Q9" s="73">
        <f>M9-P9</f>
        <v>3</v>
      </c>
      <c r="R9" s="73">
        <v>6857</v>
      </c>
      <c r="S9" s="73">
        <v>5568</v>
      </c>
      <c r="T9" s="73">
        <v>1289</v>
      </c>
      <c r="U9" s="73">
        <v>6744</v>
      </c>
      <c r="V9" s="73">
        <f>R9-U9</f>
        <v>113</v>
      </c>
    </row>
    <row r="10" spans="1:22" ht="17.25" customHeight="1" x14ac:dyDescent="0.25">
      <c r="A10" s="3" t="s">
        <v>14</v>
      </c>
      <c r="B10" s="4" t="s">
        <v>15</v>
      </c>
      <c r="C10" s="73">
        <v>5647</v>
      </c>
      <c r="D10" s="73">
        <v>4741</v>
      </c>
      <c r="E10" s="73">
        <v>906</v>
      </c>
      <c r="F10" s="73">
        <v>5394</v>
      </c>
      <c r="G10" s="73">
        <f t="shared" si="0"/>
        <v>253</v>
      </c>
      <c r="H10" s="73">
        <v>3571</v>
      </c>
      <c r="I10" s="73">
        <v>2903</v>
      </c>
      <c r="J10" s="73">
        <v>668</v>
      </c>
      <c r="K10" s="73">
        <v>5394</v>
      </c>
      <c r="L10" s="73">
        <f t="shared" si="1"/>
        <v>-1823</v>
      </c>
      <c r="M10" s="73">
        <v>306</v>
      </c>
      <c r="N10" s="73">
        <v>265</v>
      </c>
      <c r="O10" s="73">
        <v>41</v>
      </c>
      <c r="P10" s="73">
        <v>0</v>
      </c>
      <c r="Q10" s="73">
        <v>0</v>
      </c>
      <c r="R10" s="73">
        <v>1770</v>
      </c>
      <c r="S10" s="73">
        <v>1573</v>
      </c>
      <c r="T10" s="73">
        <v>197</v>
      </c>
      <c r="U10" s="73">
        <v>0</v>
      </c>
      <c r="V10" s="73">
        <v>0</v>
      </c>
    </row>
    <row r="11" spans="1:22" ht="16.5" customHeight="1" x14ac:dyDescent="0.25">
      <c r="A11" s="3" t="s">
        <v>16</v>
      </c>
      <c r="B11" s="4" t="s">
        <v>17</v>
      </c>
      <c r="C11" s="73">
        <v>1407</v>
      </c>
      <c r="D11" s="73">
        <v>772</v>
      </c>
      <c r="E11" s="73">
        <v>635</v>
      </c>
      <c r="F11" s="73">
        <v>1267</v>
      </c>
      <c r="G11" s="73">
        <f t="shared" si="0"/>
        <v>140</v>
      </c>
      <c r="H11" s="73">
        <v>738</v>
      </c>
      <c r="I11" s="73">
        <v>418</v>
      </c>
      <c r="J11" s="73">
        <v>320</v>
      </c>
      <c r="K11" s="73">
        <v>704</v>
      </c>
      <c r="L11" s="73">
        <f t="shared" si="1"/>
        <v>34</v>
      </c>
      <c r="M11" s="73">
        <v>669</v>
      </c>
      <c r="N11" s="73">
        <v>354</v>
      </c>
      <c r="O11" s="73">
        <v>315</v>
      </c>
      <c r="P11" s="73">
        <v>563</v>
      </c>
      <c r="Q11" s="73">
        <f>M11-P11</f>
        <v>106</v>
      </c>
      <c r="R11" s="73" t="s">
        <v>11</v>
      </c>
      <c r="S11" s="73" t="s">
        <v>11</v>
      </c>
      <c r="T11" s="73" t="s">
        <v>11</v>
      </c>
      <c r="U11" s="73" t="s">
        <v>11</v>
      </c>
      <c r="V11" s="73" t="s">
        <v>11</v>
      </c>
    </row>
    <row r="12" spans="1:22" ht="15" customHeight="1" x14ac:dyDescent="0.25">
      <c r="A12" s="3" t="s">
        <v>18</v>
      </c>
      <c r="B12" s="4" t="s">
        <v>19</v>
      </c>
      <c r="C12" s="73">
        <v>4968</v>
      </c>
      <c r="D12" s="73">
        <v>3012</v>
      </c>
      <c r="E12" s="73">
        <v>1956</v>
      </c>
      <c r="F12" s="73">
        <v>4382</v>
      </c>
      <c r="G12" s="73">
        <f t="shared" si="0"/>
        <v>586</v>
      </c>
      <c r="H12" s="73">
        <v>4968</v>
      </c>
      <c r="I12" s="73">
        <v>3012</v>
      </c>
      <c r="J12" s="73">
        <v>1956</v>
      </c>
      <c r="K12" s="73">
        <v>4382</v>
      </c>
      <c r="L12" s="73">
        <f t="shared" si="1"/>
        <v>586</v>
      </c>
      <c r="M12" s="73" t="s">
        <v>11</v>
      </c>
      <c r="N12" s="73" t="s">
        <v>11</v>
      </c>
      <c r="O12" s="73" t="s">
        <v>11</v>
      </c>
      <c r="P12" s="73" t="s">
        <v>11</v>
      </c>
      <c r="Q12" s="73" t="s">
        <v>11</v>
      </c>
      <c r="R12" s="73" t="s">
        <v>11</v>
      </c>
      <c r="S12" s="73" t="s">
        <v>11</v>
      </c>
      <c r="T12" s="73" t="s">
        <v>11</v>
      </c>
      <c r="U12" s="73" t="s">
        <v>11</v>
      </c>
      <c r="V12" s="73" t="s">
        <v>11</v>
      </c>
    </row>
    <row r="13" spans="1:22" ht="15" customHeight="1" x14ac:dyDescent="0.25">
      <c r="A13" s="3" t="s">
        <v>20</v>
      </c>
      <c r="B13" s="4" t="s">
        <v>21</v>
      </c>
      <c r="C13" s="73">
        <v>2197</v>
      </c>
      <c r="D13" s="73">
        <v>2029</v>
      </c>
      <c r="E13" s="73">
        <v>168</v>
      </c>
      <c r="F13" s="73">
        <v>3770</v>
      </c>
      <c r="G13" s="73">
        <f t="shared" si="0"/>
        <v>-1573</v>
      </c>
      <c r="H13" s="73">
        <v>876</v>
      </c>
      <c r="I13" s="73">
        <v>819</v>
      </c>
      <c r="J13" s="73">
        <v>57</v>
      </c>
      <c r="K13" s="73">
        <v>1158</v>
      </c>
      <c r="L13" s="73">
        <f t="shared" si="1"/>
        <v>-282</v>
      </c>
      <c r="M13" s="73">
        <v>80</v>
      </c>
      <c r="N13" s="73">
        <v>70</v>
      </c>
      <c r="O13" s="73">
        <v>10</v>
      </c>
      <c r="P13" s="73">
        <v>172</v>
      </c>
      <c r="Q13" s="73">
        <f>M13-P13</f>
        <v>-92</v>
      </c>
      <c r="R13" s="73">
        <v>1241</v>
      </c>
      <c r="S13" s="73">
        <v>1140</v>
      </c>
      <c r="T13" s="73">
        <v>101</v>
      </c>
      <c r="U13" s="73">
        <v>2440</v>
      </c>
      <c r="V13" s="73">
        <f>R13-U13</f>
        <v>-1199</v>
      </c>
    </row>
    <row r="14" spans="1:22" ht="15.75" x14ac:dyDescent="0.25">
      <c r="A14" s="3" t="s">
        <v>22</v>
      </c>
      <c r="B14" s="4" t="s">
        <v>23</v>
      </c>
      <c r="C14" s="73">
        <v>5902</v>
      </c>
      <c r="D14" s="73">
        <v>4944</v>
      </c>
      <c r="E14" s="73">
        <v>958</v>
      </c>
      <c r="F14" s="73">
        <v>5162</v>
      </c>
      <c r="G14" s="73">
        <f t="shared" si="0"/>
        <v>740</v>
      </c>
      <c r="H14" s="73">
        <v>1642</v>
      </c>
      <c r="I14" s="73">
        <v>1151</v>
      </c>
      <c r="J14" s="73">
        <v>491</v>
      </c>
      <c r="K14" s="73">
        <v>5162</v>
      </c>
      <c r="L14" s="73">
        <f t="shared" si="1"/>
        <v>-3520</v>
      </c>
      <c r="M14" s="73" t="s">
        <v>11</v>
      </c>
      <c r="N14" s="73" t="s">
        <v>11</v>
      </c>
      <c r="O14" s="73" t="s">
        <v>11</v>
      </c>
      <c r="P14" s="73" t="s">
        <v>11</v>
      </c>
      <c r="Q14" s="73" t="s">
        <v>11</v>
      </c>
      <c r="R14" s="73">
        <v>4260</v>
      </c>
      <c r="S14" s="73">
        <v>3793</v>
      </c>
      <c r="T14" s="73">
        <v>467</v>
      </c>
      <c r="U14" s="73">
        <v>0</v>
      </c>
      <c r="V14" s="73">
        <v>0</v>
      </c>
    </row>
    <row r="15" spans="1:22" ht="15.75" x14ac:dyDescent="0.25">
      <c r="A15" s="128" t="s">
        <v>30</v>
      </c>
      <c r="B15" s="128"/>
      <c r="C15" s="6">
        <f t="shared" ref="C15:K15" si="2">SUM(C8:C14)</f>
        <v>45443</v>
      </c>
      <c r="D15" s="6">
        <f t="shared" si="2"/>
        <v>35389</v>
      </c>
      <c r="E15" s="6">
        <f t="shared" si="2"/>
        <v>10054</v>
      </c>
      <c r="F15" s="6">
        <f t="shared" si="2"/>
        <v>51506</v>
      </c>
      <c r="G15" s="6">
        <f t="shared" si="2"/>
        <v>-6063</v>
      </c>
      <c r="H15" s="6">
        <f>SUM(H8:H14)</f>
        <v>18223</v>
      </c>
      <c r="I15" s="6">
        <f t="shared" si="2"/>
        <v>13299</v>
      </c>
      <c r="J15" s="6">
        <f t="shared" si="2"/>
        <v>4924</v>
      </c>
      <c r="K15" s="6">
        <f t="shared" si="2"/>
        <v>25572</v>
      </c>
      <c r="L15" s="6">
        <f t="shared" ref="L15" si="3">H15-K15</f>
        <v>-7349</v>
      </c>
      <c r="M15" s="8">
        <f>SUM(M8:M13)</f>
        <v>13092</v>
      </c>
      <c r="N15" s="8">
        <f>SUM(N8:N13)</f>
        <v>10016</v>
      </c>
      <c r="O15" s="8">
        <f>SUM(O8:O13)</f>
        <v>3076</v>
      </c>
      <c r="P15" s="8">
        <f>SUM(P8:P13)</f>
        <v>16750</v>
      </c>
      <c r="Q15" s="8">
        <f>SUM(Q8:Q13)</f>
        <v>-3964</v>
      </c>
      <c r="R15" s="8">
        <f>SUM(R9:R14)</f>
        <v>14128</v>
      </c>
      <c r="S15" s="8">
        <f>SUM(S9:S14)</f>
        <v>12074</v>
      </c>
      <c r="T15" s="8">
        <f>SUM(T9:T14)</f>
        <v>2054</v>
      </c>
      <c r="U15" s="8">
        <f>SUM(U9:U14)</f>
        <v>9184</v>
      </c>
      <c r="V15" s="8">
        <f>R15-U15</f>
        <v>4944</v>
      </c>
    </row>
    <row r="16" spans="1:22" ht="15.75" x14ac:dyDescent="0.25">
      <c r="A16" s="112" t="s">
        <v>32</v>
      </c>
      <c r="B16" s="113"/>
      <c r="C16" s="8">
        <f>C15/105</f>
        <v>432.79047619047617</v>
      </c>
      <c r="D16" s="8">
        <f>D15/105</f>
        <v>337.03809523809525</v>
      </c>
      <c r="E16" s="8">
        <f>E15/105</f>
        <v>95.752380952380946</v>
      </c>
      <c r="F16" s="8">
        <f>F15/105</f>
        <v>490.53333333333336</v>
      </c>
      <c r="G16" s="8">
        <f>G15/105</f>
        <v>-57.74285714285714</v>
      </c>
      <c r="H16" s="8">
        <f>H15/7</f>
        <v>2603.2857142857142</v>
      </c>
      <c r="I16" s="8">
        <f t="shared" ref="I16:L16" si="4">I15/7</f>
        <v>1899.8571428571429</v>
      </c>
      <c r="J16" s="8">
        <f t="shared" si="4"/>
        <v>703.42857142857144</v>
      </c>
      <c r="K16" s="8">
        <f t="shared" si="4"/>
        <v>3653.1428571428573</v>
      </c>
      <c r="L16" s="6">
        <f t="shared" si="4"/>
        <v>-1049.8571428571429</v>
      </c>
      <c r="M16" s="8">
        <f>M15/16</f>
        <v>818.25</v>
      </c>
      <c r="N16" s="8">
        <f>N15/16</f>
        <v>626</v>
      </c>
      <c r="O16" s="8">
        <f>O15/16</f>
        <v>192.25</v>
      </c>
      <c r="P16" s="8">
        <f>P15/16</f>
        <v>1046.875</v>
      </c>
      <c r="Q16" s="8">
        <f>Q15/16</f>
        <v>-247.75</v>
      </c>
      <c r="R16" s="8">
        <f>R15/74</f>
        <v>190.91891891891891</v>
      </c>
      <c r="S16" s="8">
        <f>S15/74</f>
        <v>163.16216216216216</v>
      </c>
      <c r="T16" s="8">
        <f>T15/74</f>
        <v>27.756756756756758</v>
      </c>
      <c r="U16" s="8">
        <f>U15/74</f>
        <v>124.10810810810811</v>
      </c>
      <c r="V16" s="8">
        <f>V15/74</f>
        <v>66.810810810810807</v>
      </c>
    </row>
    <row r="17" spans="1:22" ht="15.75" x14ac:dyDescent="0.25">
      <c r="A17" s="129" t="s">
        <v>24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</row>
    <row r="18" spans="1:22" ht="15.75" customHeight="1" x14ac:dyDescent="0.25">
      <c r="A18" s="3" t="s">
        <v>8</v>
      </c>
      <c r="B18" s="4" t="s">
        <v>25</v>
      </c>
      <c r="C18" s="73">
        <v>3863</v>
      </c>
      <c r="D18" s="73">
        <v>2464</v>
      </c>
      <c r="E18" s="73">
        <v>1399</v>
      </c>
      <c r="F18" s="73">
        <v>7110</v>
      </c>
      <c r="G18" s="73">
        <f>C18-F18</f>
        <v>-3247</v>
      </c>
      <c r="H18" s="73">
        <v>1591</v>
      </c>
      <c r="I18" s="73">
        <v>681</v>
      </c>
      <c r="J18" s="73">
        <v>910</v>
      </c>
      <c r="K18" s="73">
        <v>3589</v>
      </c>
      <c r="L18" s="73">
        <f>H18-K18</f>
        <v>-1998</v>
      </c>
      <c r="M18" s="73">
        <v>121</v>
      </c>
      <c r="N18" s="73">
        <v>93</v>
      </c>
      <c r="O18" s="73">
        <v>28</v>
      </c>
      <c r="P18" s="73">
        <v>189</v>
      </c>
      <c r="Q18" s="73">
        <f>M18-P18</f>
        <v>-68</v>
      </c>
      <c r="R18" s="73">
        <v>2151</v>
      </c>
      <c r="S18" s="73">
        <v>1690</v>
      </c>
      <c r="T18" s="73">
        <v>461</v>
      </c>
      <c r="U18" s="73">
        <v>3332</v>
      </c>
      <c r="V18" s="73">
        <f>R18-U18</f>
        <v>-1181</v>
      </c>
    </row>
    <row r="19" spans="1:22" ht="15" customHeight="1" x14ac:dyDescent="0.25">
      <c r="A19" s="3" t="s">
        <v>12</v>
      </c>
      <c r="B19" s="4" t="s">
        <v>26</v>
      </c>
      <c r="C19" s="73">
        <v>1347</v>
      </c>
      <c r="D19" s="73">
        <v>1175</v>
      </c>
      <c r="E19" s="73">
        <v>172</v>
      </c>
      <c r="F19" s="73">
        <v>947</v>
      </c>
      <c r="G19" s="73">
        <f>C19-F19</f>
        <v>400</v>
      </c>
      <c r="H19" s="73">
        <v>286</v>
      </c>
      <c r="I19" s="73">
        <v>215</v>
      </c>
      <c r="J19" s="73">
        <v>71</v>
      </c>
      <c r="K19" s="73">
        <v>0</v>
      </c>
      <c r="L19" s="73">
        <f>H19-K19</f>
        <v>286</v>
      </c>
      <c r="M19" s="73" t="s">
        <v>11</v>
      </c>
      <c r="N19" s="73" t="s">
        <v>11</v>
      </c>
      <c r="O19" s="73" t="s">
        <v>11</v>
      </c>
      <c r="P19" s="73" t="s">
        <v>11</v>
      </c>
      <c r="Q19" s="73" t="s">
        <v>11</v>
      </c>
      <c r="R19" s="73">
        <v>1061</v>
      </c>
      <c r="S19" s="73">
        <v>960</v>
      </c>
      <c r="T19" s="73">
        <v>101</v>
      </c>
      <c r="U19" s="73">
        <v>947</v>
      </c>
      <c r="V19" s="73">
        <f>R19-U19</f>
        <v>114</v>
      </c>
    </row>
    <row r="20" spans="1:22" ht="15.75" x14ac:dyDescent="0.25">
      <c r="A20" s="3" t="s">
        <v>14</v>
      </c>
      <c r="B20" s="4" t="s">
        <v>27</v>
      </c>
      <c r="C20" s="73">
        <v>4251</v>
      </c>
      <c r="D20" s="73">
        <v>3469</v>
      </c>
      <c r="E20" s="73">
        <v>782</v>
      </c>
      <c r="F20" s="73">
        <v>4276</v>
      </c>
      <c r="G20" s="73">
        <f>C20-F20</f>
        <v>-25</v>
      </c>
      <c r="H20" s="73">
        <v>1368</v>
      </c>
      <c r="I20" s="73">
        <v>1131</v>
      </c>
      <c r="J20" s="73">
        <v>237</v>
      </c>
      <c r="K20" s="73">
        <v>1392</v>
      </c>
      <c r="L20" s="73">
        <f>H20-K20</f>
        <v>-24</v>
      </c>
      <c r="M20" s="73" t="s">
        <v>11</v>
      </c>
      <c r="N20" s="73" t="s">
        <v>11</v>
      </c>
      <c r="O20" s="73" t="s">
        <v>11</v>
      </c>
      <c r="P20" s="73" t="s">
        <v>11</v>
      </c>
      <c r="Q20" s="73" t="s">
        <v>11</v>
      </c>
      <c r="R20" s="73">
        <v>2883</v>
      </c>
      <c r="S20" s="73">
        <v>2338</v>
      </c>
      <c r="T20" s="73">
        <v>545</v>
      </c>
      <c r="U20" s="73">
        <v>2884</v>
      </c>
      <c r="V20" s="73">
        <f>R20-U20</f>
        <v>-1</v>
      </c>
    </row>
    <row r="21" spans="1:22" ht="16.5" customHeight="1" x14ac:dyDescent="0.25">
      <c r="A21" s="3" t="s">
        <v>16</v>
      </c>
      <c r="B21" s="4" t="s">
        <v>28</v>
      </c>
      <c r="C21" s="73">
        <v>6432</v>
      </c>
      <c r="D21" s="73">
        <v>5450</v>
      </c>
      <c r="E21" s="73">
        <v>982</v>
      </c>
      <c r="F21" s="73">
        <v>5422</v>
      </c>
      <c r="G21" s="73">
        <f>C21-F21</f>
        <v>1010</v>
      </c>
      <c r="H21" s="73">
        <v>6432</v>
      </c>
      <c r="I21" s="73">
        <v>5450</v>
      </c>
      <c r="J21" s="73">
        <v>982</v>
      </c>
      <c r="K21" s="73">
        <v>5422</v>
      </c>
      <c r="L21" s="73">
        <f>H21-K21</f>
        <v>1010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0</v>
      </c>
      <c r="V21" s="80">
        <v>0</v>
      </c>
    </row>
    <row r="22" spans="1:22" ht="16.5" customHeight="1" x14ac:dyDescent="0.25">
      <c r="A22" s="128" t="s">
        <v>30</v>
      </c>
      <c r="B22" s="128"/>
      <c r="C22" s="6">
        <f t="shared" ref="C22:U22" si="5">SUM(C18:C21)</f>
        <v>15893</v>
      </c>
      <c r="D22" s="6">
        <f t="shared" si="5"/>
        <v>12558</v>
      </c>
      <c r="E22" s="6">
        <f t="shared" si="5"/>
        <v>3335</v>
      </c>
      <c r="F22" s="6">
        <f t="shared" si="5"/>
        <v>17755</v>
      </c>
      <c r="G22" s="6">
        <f t="shared" si="5"/>
        <v>-1862</v>
      </c>
      <c r="H22" s="6">
        <f t="shared" si="5"/>
        <v>9677</v>
      </c>
      <c r="I22" s="6">
        <f t="shared" si="5"/>
        <v>7477</v>
      </c>
      <c r="J22" s="6">
        <f t="shared" si="5"/>
        <v>2200</v>
      </c>
      <c r="K22" s="6">
        <f t="shared" si="5"/>
        <v>10403</v>
      </c>
      <c r="L22" s="6">
        <f t="shared" si="5"/>
        <v>-726</v>
      </c>
      <c r="M22" s="6">
        <f t="shared" si="5"/>
        <v>121</v>
      </c>
      <c r="N22" s="6">
        <f t="shared" si="5"/>
        <v>93</v>
      </c>
      <c r="O22" s="6">
        <f t="shared" si="5"/>
        <v>28</v>
      </c>
      <c r="P22" s="6">
        <f t="shared" si="5"/>
        <v>189</v>
      </c>
      <c r="Q22" s="8">
        <f t="shared" si="5"/>
        <v>-68</v>
      </c>
      <c r="R22" s="6">
        <f t="shared" si="5"/>
        <v>6095</v>
      </c>
      <c r="S22" s="6">
        <f t="shared" si="5"/>
        <v>4988</v>
      </c>
      <c r="T22" s="6">
        <f t="shared" si="5"/>
        <v>1107</v>
      </c>
      <c r="U22" s="6">
        <f t="shared" si="5"/>
        <v>7163</v>
      </c>
      <c r="V22" s="6">
        <f>R22-U22</f>
        <v>-1068</v>
      </c>
    </row>
    <row r="23" spans="1:22" ht="15.75" x14ac:dyDescent="0.25">
      <c r="A23" s="112" t="s">
        <v>32</v>
      </c>
      <c r="B23" s="113"/>
      <c r="C23" s="8">
        <f>C22/87</f>
        <v>182.67816091954023</v>
      </c>
      <c r="D23" s="8">
        <f>D22/87</f>
        <v>144.34482758620689</v>
      </c>
      <c r="E23" s="8">
        <f>E22/87</f>
        <v>38.333333333333336</v>
      </c>
      <c r="F23" s="8">
        <f>F22/87</f>
        <v>204.08045977011494</v>
      </c>
      <c r="G23" s="8">
        <f>G22/87</f>
        <v>-21.402298850574713</v>
      </c>
      <c r="H23" s="8">
        <f>H22/4</f>
        <v>2419.25</v>
      </c>
      <c r="I23" s="8">
        <f t="shared" ref="I23:L23" si="6">I22/4</f>
        <v>1869.25</v>
      </c>
      <c r="J23" s="8">
        <f t="shared" si="6"/>
        <v>550</v>
      </c>
      <c r="K23" s="8">
        <f t="shared" si="6"/>
        <v>2600.75</v>
      </c>
      <c r="L23" s="8">
        <f t="shared" si="6"/>
        <v>-181.5</v>
      </c>
      <c r="M23" s="8">
        <f>M22/3</f>
        <v>40.333333333333336</v>
      </c>
      <c r="N23" s="8">
        <f>N22/3</f>
        <v>31</v>
      </c>
      <c r="O23" s="8">
        <f>O22/3</f>
        <v>9.3333333333333339</v>
      </c>
      <c r="P23" s="8">
        <f>P22/3</f>
        <v>63</v>
      </c>
      <c r="Q23" s="8">
        <f>Q22/3</f>
        <v>-22.666666666666668</v>
      </c>
      <c r="R23" s="8">
        <f>R22/78</f>
        <v>78.141025641025635</v>
      </c>
      <c r="S23" s="8">
        <f>S22/78</f>
        <v>63.948717948717949</v>
      </c>
      <c r="T23" s="8">
        <f>T22/78</f>
        <v>14.192307692307692</v>
      </c>
      <c r="U23" s="8">
        <f>U22/78</f>
        <v>91.833333333333329</v>
      </c>
      <c r="V23" s="8">
        <f>V22/78</f>
        <v>-13.692307692307692</v>
      </c>
    </row>
    <row r="24" spans="1:22" ht="28.5" customHeight="1" x14ac:dyDescent="0.25">
      <c r="A24" s="110" t="s">
        <v>29</v>
      </c>
      <c r="B24" s="120"/>
      <c r="C24" s="47">
        <f t="shared" ref="C24:V24" si="7">SUM(C15,C22)</f>
        <v>61336</v>
      </c>
      <c r="D24" s="47">
        <f t="shared" si="7"/>
        <v>47947</v>
      </c>
      <c r="E24" s="47">
        <f t="shared" si="7"/>
        <v>13389</v>
      </c>
      <c r="F24" s="47">
        <f t="shared" si="7"/>
        <v>69261</v>
      </c>
      <c r="G24" s="47">
        <f t="shared" si="7"/>
        <v>-7925</v>
      </c>
      <c r="H24" s="47">
        <f t="shared" si="7"/>
        <v>27900</v>
      </c>
      <c r="I24" s="47">
        <f t="shared" si="7"/>
        <v>20776</v>
      </c>
      <c r="J24" s="47">
        <f t="shared" si="7"/>
        <v>7124</v>
      </c>
      <c r="K24" s="47">
        <f t="shared" si="7"/>
        <v>35975</v>
      </c>
      <c r="L24" s="47">
        <f t="shared" si="7"/>
        <v>-8075</v>
      </c>
      <c r="M24" s="48">
        <f t="shared" si="7"/>
        <v>13213</v>
      </c>
      <c r="N24" s="48">
        <f t="shared" si="7"/>
        <v>10109</v>
      </c>
      <c r="O24" s="48">
        <f t="shared" si="7"/>
        <v>3104</v>
      </c>
      <c r="P24" s="48">
        <f t="shared" si="7"/>
        <v>16939</v>
      </c>
      <c r="Q24" s="48">
        <f t="shared" si="7"/>
        <v>-4032</v>
      </c>
      <c r="R24" s="48">
        <f t="shared" si="7"/>
        <v>20223</v>
      </c>
      <c r="S24" s="48">
        <f t="shared" si="7"/>
        <v>17062</v>
      </c>
      <c r="T24" s="48">
        <f t="shared" si="7"/>
        <v>3161</v>
      </c>
      <c r="U24" s="48">
        <f t="shared" si="7"/>
        <v>16347</v>
      </c>
      <c r="V24" s="48">
        <f t="shared" si="7"/>
        <v>3876</v>
      </c>
    </row>
    <row r="25" spans="1:22" ht="32.25" customHeight="1" x14ac:dyDescent="0.25">
      <c r="A25" s="110" t="s">
        <v>31</v>
      </c>
      <c r="B25" s="120"/>
      <c r="C25" s="48">
        <f>C24/192</f>
        <v>319.45833333333331</v>
      </c>
      <c r="D25" s="48">
        <f>D24/192</f>
        <v>249.72395833333334</v>
      </c>
      <c r="E25" s="48">
        <f>E24/192</f>
        <v>69.734375</v>
      </c>
      <c r="F25" s="48">
        <f>F24/192</f>
        <v>360.734375</v>
      </c>
      <c r="G25" s="48">
        <f>G24/192</f>
        <v>-41.276041666666664</v>
      </c>
      <c r="H25" s="48">
        <f>H24/11</f>
        <v>2536.3636363636365</v>
      </c>
      <c r="I25" s="48">
        <f t="shared" ref="I25:L25" si="8">I24/11</f>
        <v>1888.7272727272727</v>
      </c>
      <c r="J25" s="48">
        <f t="shared" si="8"/>
        <v>647.63636363636363</v>
      </c>
      <c r="K25" s="48">
        <f t="shared" si="8"/>
        <v>3270.4545454545455</v>
      </c>
      <c r="L25" s="48">
        <f t="shared" si="8"/>
        <v>-734.09090909090912</v>
      </c>
      <c r="M25" s="48">
        <f>M24/19</f>
        <v>695.42105263157896</v>
      </c>
      <c r="N25" s="48">
        <f>N24/19</f>
        <v>532.0526315789474</v>
      </c>
      <c r="O25" s="48">
        <f>O24/19</f>
        <v>163.36842105263159</v>
      </c>
      <c r="P25" s="48">
        <f>P24/19</f>
        <v>891.52631578947364</v>
      </c>
      <c r="Q25" s="48">
        <f>Q24/19</f>
        <v>-212.21052631578948</v>
      </c>
      <c r="R25" s="48">
        <f>R24/152</f>
        <v>133.04605263157896</v>
      </c>
      <c r="S25" s="48">
        <f>S24/152</f>
        <v>112.25</v>
      </c>
      <c r="T25" s="48">
        <f>T24/152</f>
        <v>20.796052631578949</v>
      </c>
      <c r="U25" s="48">
        <f>U24/152</f>
        <v>107.54605263157895</v>
      </c>
      <c r="V25" s="48">
        <f>V24/152</f>
        <v>25.5</v>
      </c>
    </row>
  </sheetData>
  <mergeCells count="23">
    <mergeCell ref="A25:B25"/>
    <mergeCell ref="A2:V2"/>
    <mergeCell ref="C4:E5"/>
    <mergeCell ref="H4:J5"/>
    <mergeCell ref="M4:O5"/>
    <mergeCell ref="R4:T5"/>
    <mergeCell ref="A16:B16"/>
    <mergeCell ref="A22:B22"/>
    <mergeCell ref="A7:V7"/>
    <mergeCell ref="A15:B15"/>
    <mergeCell ref="A17:V17"/>
    <mergeCell ref="A23:B23"/>
    <mergeCell ref="A24:B24"/>
    <mergeCell ref="V4:V6"/>
    <mergeCell ref="P4:P6"/>
    <mergeCell ref="Q4:Q6"/>
    <mergeCell ref="U4:U6"/>
    <mergeCell ref="A4:A6"/>
    <mergeCell ref="B4:B6"/>
    <mergeCell ref="F4:F6"/>
    <mergeCell ref="G4:G6"/>
    <mergeCell ref="K4:K6"/>
    <mergeCell ref="L4:L6"/>
  </mergeCells>
  <pageMargins left="0.70000000000000007" right="0.70000000000000007" top="0.75" bottom="0.75" header="0.30000000000000004" footer="0.30000000000000004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2:R27"/>
  <sheetViews>
    <sheetView topLeftCell="A4" workbookViewId="0">
      <selection activeCell="R26" sqref="R26"/>
    </sheetView>
  </sheetViews>
  <sheetFormatPr defaultRowHeight="15" x14ac:dyDescent="0.25"/>
  <cols>
    <col min="1" max="1" width="4.5703125" customWidth="1"/>
    <col min="2" max="2" width="27.85546875" customWidth="1"/>
    <col min="3" max="3" width="8.85546875" customWidth="1"/>
    <col min="4" max="4" width="8" customWidth="1"/>
    <col min="5" max="5" width="8.140625" customWidth="1"/>
    <col min="6" max="6" width="9.85546875" customWidth="1"/>
    <col min="7" max="7" width="9" customWidth="1"/>
    <col min="8" max="8" width="8.42578125" customWidth="1"/>
    <col min="9" max="9" width="8.7109375" customWidth="1"/>
    <col min="10" max="10" width="9.7109375" customWidth="1"/>
    <col min="11" max="11" width="8.7109375" customWidth="1"/>
    <col min="12" max="12" width="8.28515625" customWidth="1"/>
    <col min="13" max="13" width="8.5703125" customWidth="1"/>
    <col min="14" max="14" width="9.7109375" customWidth="1"/>
    <col min="15" max="15" width="8.7109375" customWidth="1"/>
    <col min="16" max="17" width="8.5703125" customWidth="1"/>
    <col min="18" max="18" width="9.7109375" customWidth="1"/>
  </cols>
  <sheetData>
    <row r="2" spans="1:18" ht="15.75" x14ac:dyDescent="0.25">
      <c r="A2" s="143" t="s">
        <v>91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4" spans="1:18" ht="20.25" customHeight="1" x14ac:dyDescent="0.25">
      <c r="A4" s="100" t="s">
        <v>0</v>
      </c>
      <c r="B4" s="100" t="s">
        <v>1</v>
      </c>
      <c r="C4" s="103" t="s">
        <v>47</v>
      </c>
      <c r="D4" s="104"/>
      <c r="E4" s="104"/>
      <c r="F4" s="105"/>
      <c r="G4" s="103" t="s">
        <v>3</v>
      </c>
      <c r="H4" s="104"/>
      <c r="I4" s="104"/>
      <c r="J4" s="104"/>
      <c r="K4" s="134" t="s">
        <v>45</v>
      </c>
      <c r="L4" s="135"/>
      <c r="M4" s="135"/>
      <c r="N4" s="132"/>
      <c r="O4" s="134" t="s">
        <v>46</v>
      </c>
      <c r="P4" s="135"/>
      <c r="Q4" s="135"/>
      <c r="R4" s="132"/>
    </row>
    <row r="5" spans="1:18" ht="15" hidden="1" customHeight="1" x14ac:dyDescent="0.25">
      <c r="A5" s="101"/>
      <c r="B5" s="101"/>
      <c r="C5" s="147"/>
      <c r="D5" s="148"/>
      <c r="E5" s="148"/>
      <c r="F5" s="149"/>
      <c r="G5" s="106"/>
      <c r="H5" s="107"/>
      <c r="I5" s="107"/>
      <c r="J5" s="107"/>
      <c r="K5" s="136"/>
      <c r="L5" s="137"/>
      <c r="M5" s="137"/>
      <c r="N5" s="133"/>
      <c r="O5" s="136"/>
      <c r="P5" s="137"/>
      <c r="Q5" s="137"/>
      <c r="R5" s="133"/>
    </row>
    <row r="6" spans="1:18" ht="15.75" customHeight="1" x14ac:dyDescent="0.25">
      <c r="A6" s="101"/>
      <c r="B6" s="147"/>
      <c r="C6" s="130" t="s">
        <v>88</v>
      </c>
      <c r="D6" s="144"/>
      <c r="E6" s="145" t="s">
        <v>80</v>
      </c>
      <c r="F6" s="117" t="s">
        <v>44</v>
      </c>
      <c r="G6" s="130" t="s">
        <v>88</v>
      </c>
      <c r="H6" s="144"/>
      <c r="I6" s="145" t="s">
        <v>80</v>
      </c>
      <c r="J6" s="117" t="s">
        <v>44</v>
      </c>
      <c r="K6" s="130" t="s">
        <v>88</v>
      </c>
      <c r="L6" s="131"/>
      <c r="M6" s="132" t="s">
        <v>80</v>
      </c>
      <c r="N6" s="117" t="s">
        <v>44</v>
      </c>
      <c r="O6" s="117" t="s">
        <v>88</v>
      </c>
      <c r="P6" s="117"/>
      <c r="Q6" s="117" t="s">
        <v>80</v>
      </c>
      <c r="R6" s="117" t="s">
        <v>44</v>
      </c>
    </row>
    <row r="7" spans="1:18" ht="15.75" x14ac:dyDescent="0.25">
      <c r="A7" s="102"/>
      <c r="B7" s="102"/>
      <c r="C7" s="10" t="s">
        <v>42</v>
      </c>
      <c r="D7" s="18" t="s">
        <v>43</v>
      </c>
      <c r="E7" s="146"/>
      <c r="F7" s="117"/>
      <c r="G7" s="10" t="s">
        <v>42</v>
      </c>
      <c r="H7" s="18" t="s">
        <v>43</v>
      </c>
      <c r="I7" s="146"/>
      <c r="J7" s="117"/>
      <c r="K7" s="18" t="s">
        <v>42</v>
      </c>
      <c r="L7" s="11" t="s">
        <v>43</v>
      </c>
      <c r="M7" s="133"/>
      <c r="N7" s="117"/>
      <c r="O7" s="11" t="s">
        <v>42</v>
      </c>
      <c r="P7" s="11" t="s">
        <v>43</v>
      </c>
      <c r="Q7" s="117"/>
      <c r="R7" s="117"/>
    </row>
    <row r="8" spans="1:18" ht="15.75" x14ac:dyDescent="0.25">
      <c r="A8" s="140" t="s">
        <v>7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2"/>
    </row>
    <row r="9" spans="1:18" ht="15" customHeight="1" x14ac:dyDescent="0.25">
      <c r="A9" s="14" t="s">
        <v>8</v>
      </c>
      <c r="B9" s="17" t="s">
        <v>9</v>
      </c>
      <c r="C9" s="14">
        <v>4284</v>
      </c>
      <c r="D9" s="84">
        <f>C9/14928*100</f>
        <v>28.69774919614148</v>
      </c>
      <c r="E9" s="14">
        <v>5310</v>
      </c>
      <c r="F9" s="15">
        <f t="shared" ref="F9:F15" si="0">C9-E9</f>
        <v>-1026</v>
      </c>
      <c r="G9" s="77">
        <v>430</v>
      </c>
      <c r="H9" s="75">
        <f>G9/3548*100</f>
        <v>12.119503945885006</v>
      </c>
      <c r="I9" s="77">
        <v>1228</v>
      </c>
      <c r="J9" s="77">
        <f t="shared" ref="J9:J15" si="1">G9-I9</f>
        <v>-798</v>
      </c>
      <c r="K9" s="77">
        <f>3182+672</f>
        <v>3854</v>
      </c>
      <c r="L9" s="75">
        <f>K9/11380*100</f>
        <v>33.866432337434091</v>
      </c>
      <c r="M9" s="77">
        <f>3157+925</f>
        <v>4082</v>
      </c>
      <c r="N9" s="83">
        <f>K9-M9</f>
        <v>-228</v>
      </c>
      <c r="O9" s="85" t="s">
        <v>11</v>
      </c>
      <c r="P9" s="86" t="s">
        <v>11</v>
      </c>
      <c r="Q9" s="81" t="s">
        <v>11</v>
      </c>
      <c r="R9" s="85" t="s">
        <v>11</v>
      </c>
    </row>
    <row r="10" spans="1:18" ht="14.25" customHeight="1" x14ac:dyDescent="0.25">
      <c r="A10" s="14" t="s">
        <v>12</v>
      </c>
      <c r="B10" s="17" t="s">
        <v>13</v>
      </c>
      <c r="C10" s="14">
        <v>3296</v>
      </c>
      <c r="D10" s="75">
        <f>C10/10394*100</f>
        <v>31.710602270540694</v>
      </c>
      <c r="E10" s="14">
        <v>3354</v>
      </c>
      <c r="F10" s="15">
        <f t="shared" si="0"/>
        <v>-58</v>
      </c>
      <c r="G10" s="77">
        <v>981</v>
      </c>
      <c r="H10" s="75">
        <f>G10/2880*100</f>
        <v>34.0625</v>
      </c>
      <c r="I10" s="77">
        <v>1023</v>
      </c>
      <c r="J10" s="77">
        <f t="shared" si="1"/>
        <v>-42</v>
      </c>
      <c r="K10" s="77">
        <v>257</v>
      </c>
      <c r="L10" s="75">
        <f>K10/657*100</f>
        <v>39.117199391171994</v>
      </c>
      <c r="M10" s="77">
        <v>261</v>
      </c>
      <c r="N10" s="83">
        <f>K10-M10</f>
        <v>-4</v>
      </c>
      <c r="O10" s="83">
        <v>2058</v>
      </c>
      <c r="P10" s="86">
        <f>O10/6857*100</f>
        <v>30.013125273443197</v>
      </c>
      <c r="Q10" s="82">
        <v>2184</v>
      </c>
      <c r="R10" s="83">
        <v>2070</v>
      </c>
    </row>
    <row r="11" spans="1:18" ht="15" customHeight="1" x14ac:dyDescent="0.25">
      <c r="A11" s="14" t="s">
        <v>14</v>
      </c>
      <c r="B11" s="17" t="s">
        <v>15</v>
      </c>
      <c r="C11" s="14">
        <v>2279</v>
      </c>
      <c r="D11" s="75">
        <f>C11/5647*100</f>
        <v>40.357712059500621</v>
      </c>
      <c r="E11" s="14">
        <v>2013</v>
      </c>
      <c r="F11" s="15">
        <f t="shared" si="0"/>
        <v>266</v>
      </c>
      <c r="G11" s="77">
        <v>1732</v>
      </c>
      <c r="H11" s="75">
        <f>G11/3571*100</f>
        <v>48.501820218426211</v>
      </c>
      <c r="I11" s="77">
        <v>2013</v>
      </c>
      <c r="J11" s="77">
        <f t="shared" si="1"/>
        <v>-281</v>
      </c>
      <c r="K11" s="77">
        <v>62</v>
      </c>
      <c r="L11" s="77">
        <f>K11/306*100</f>
        <v>20.261437908496731</v>
      </c>
      <c r="M11" s="77">
        <v>0</v>
      </c>
      <c r="N11" s="77">
        <v>0</v>
      </c>
      <c r="O11" s="77">
        <v>485</v>
      </c>
      <c r="P11" s="77">
        <f>O11/1770*100</f>
        <v>27.401129943502823</v>
      </c>
      <c r="Q11" s="82">
        <v>941</v>
      </c>
      <c r="R11" s="77">
        <v>0</v>
      </c>
    </row>
    <row r="12" spans="1:18" ht="14.25" customHeight="1" x14ac:dyDescent="0.25">
      <c r="A12" s="14" t="s">
        <v>16</v>
      </c>
      <c r="B12" s="17" t="s">
        <v>17</v>
      </c>
      <c r="C12" s="14">
        <v>106</v>
      </c>
      <c r="D12" s="75">
        <f>C12/1407*100</f>
        <v>7.5337597725657428</v>
      </c>
      <c r="E12" s="14">
        <v>95</v>
      </c>
      <c r="F12" s="15">
        <f t="shared" si="0"/>
        <v>11</v>
      </c>
      <c r="G12" s="77">
        <v>81</v>
      </c>
      <c r="H12" s="75">
        <f>G12/738*100</f>
        <v>10.975609756097562</v>
      </c>
      <c r="I12" s="77">
        <v>72</v>
      </c>
      <c r="J12" s="77">
        <f t="shared" si="1"/>
        <v>9</v>
      </c>
      <c r="K12" s="77">
        <v>25</v>
      </c>
      <c r="L12" s="75">
        <f>K12/669*100</f>
        <v>3.7369207772795217</v>
      </c>
      <c r="M12" s="77">
        <v>23</v>
      </c>
      <c r="N12" s="83">
        <f>K12-M12</f>
        <v>2</v>
      </c>
      <c r="O12" s="83" t="s">
        <v>11</v>
      </c>
      <c r="P12" s="86" t="s">
        <v>11</v>
      </c>
      <c r="Q12" s="82" t="s">
        <v>11</v>
      </c>
      <c r="R12" s="83" t="s">
        <v>11</v>
      </c>
    </row>
    <row r="13" spans="1:18" ht="15" customHeight="1" x14ac:dyDescent="0.25">
      <c r="A13" s="14" t="s">
        <v>18</v>
      </c>
      <c r="B13" s="17" t="s">
        <v>19</v>
      </c>
      <c r="C13" s="14">
        <v>910</v>
      </c>
      <c r="D13" s="84">
        <f>C13/4968*100</f>
        <v>18.317230273752013</v>
      </c>
      <c r="E13" s="14">
        <v>920</v>
      </c>
      <c r="F13" s="15">
        <f t="shared" si="0"/>
        <v>-10</v>
      </c>
      <c r="G13" s="77">
        <v>910</v>
      </c>
      <c r="H13" s="75">
        <f>G13/4968*100</f>
        <v>18.317230273752013</v>
      </c>
      <c r="I13" s="77">
        <v>920</v>
      </c>
      <c r="J13" s="77">
        <f t="shared" si="1"/>
        <v>-10</v>
      </c>
      <c r="K13" s="77" t="s">
        <v>11</v>
      </c>
      <c r="L13" s="75" t="s">
        <v>11</v>
      </c>
      <c r="M13" s="77" t="s">
        <v>11</v>
      </c>
      <c r="N13" s="85" t="s">
        <v>11</v>
      </c>
      <c r="O13" s="83" t="s">
        <v>11</v>
      </c>
      <c r="P13" s="86" t="s">
        <v>11</v>
      </c>
      <c r="Q13" s="82" t="s">
        <v>11</v>
      </c>
      <c r="R13" s="83" t="s">
        <v>11</v>
      </c>
    </row>
    <row r="14" spans="1:18" ht="15" customHeight="1" x14ac:dyDescent="0.25">
      <c r="A14" s="14" t="s">
        <v>20</v>
      </c>
      <c r="B14" s="17" t="s">
        <v>21</v>
      </c>
      <c r="C14" s="14">
        <v>372</v>
      </c>
      <c r="D14" s="75">
        <f>C14/2197*100</f>
        <v>16.932180245789713</v>
      </c>
      <c r="E14" s="14">
        <v>873</v>
      </c>
      <c r="F14" s="15">
        <f t="shared" si="0"/>
        <v>-501</v>
      </c>
      <c r="G14" s="77">
        <v>202</v>
      </c>
      <c r="H14" s="75">
        <f>G14/876*100</f>
        <v>23.059360730593607</v>
      </c>
      <c r="I14" s="77">
        <v>324</v>
      </c>
      <c r="J14" s="77">
        <f t="shared" si="1"/>
        <v>-122</v>
      </c>
      <c r="K14" s="77">
        <v>5</v>
      </c>
      <c r="L14" s="75">
        <f>K14/80*100</f>
        <v>6.25</v>
      </c>
      <c r="M14" s="77">
        <v>8</v>
      </c>
      <c r="N14" s="83">
        <f>K14-M14</f>
        <v>-3</v>
      </c>
      <c r="O14" s="83">
        <v>165</v>
      </c>
      <c r="P14" s="86">
        <f>O14/1241*100</f>
        <v>13.295729250604351</v>
      </c>
      <c r="Q14" s="83">
        <v>522</v>
      </c>
      <c r="R14" s="83">
        <v>541</v>
      </c>
    </row>
    <row r="15" spans="1:18" ht="15.75" x14ac:dyDescent="0.25">
      <c r="A15" s="14" t="s">
        <v>22</v>
      </c>
      <c r="B15" s="17" t="s">
        <v>23</v>
      </c>
      <c r="C15" s="14">
        <v>1985</v>
      </c>
      <c r="D15" s="75">
        <f>C15/5902*100</f>
        <v>33.63266689257879</v>
      </c>
      <c r="E15" s="14">
        <v>1484</v>
      </c>
      <c r="F15" s="15">
        <f t="shared" si="0"/>
        <v>501</v>
      </c>
      <c r="G15" s="77">
        <v>748</v>
      </c>
      <c r="H15" s="75">
        <f>G15/1642*100</f>
        <v>45.554202192448237</v>
      </c>
      <c r="I15" s="77">
        <v>1484</v>
      </c>
      <c r="J15" s="77">
        <f t="shared" si="1"/>
        <v>-736</v>
      </c>
      <c r="K15" s="77" t="s">
        <v>11</v>
      </c>
      <c r="L15" s="75" t="s">
        <v>11</v>
      </c>
      <c r="M15" s="77" t="s">
        <v>11</v>
      </c>
      <c r="N15" s="85" t="s">
        <v>11</v>
      </c>
      <c r="O15" s="83">
        <v>1237</v>
      </c>
      <c r="P15" s="86">
        <f>O15/4260*100</f>
        <v>29.037558685446008</v>
      </c>
      <c r="Q15" s="82">
        <v>1579</v>
      </c>
      <c r="R15" s="83">
        <v>0</v>
      </c>
    </row>
    <row r="16" spans="1:18" ht="15.75" x14ac:dyDescent="0.25">
      <c r="A16" s="114" t="s">
        <v>30</v>
      </c>
      <c r="B16" s="115"/>
      <c r="C16" s="45">
        <f t="shared" ref="C16:R16" si="2">SUM(C9:C15)</f>
        <v>13232</v>
      </c>
      <c r="D16" s="37">
        <f t="shared" si="2"/>
        <v>177.18190071086906</v>
      </c>
      <c r="E16" s="51">
        <f t="shared" si="2"/>
        <v>14049</v>
      </c>
      <c r="F16" s="51">
        <f t="shared" si="2"/>
        <v>-817</v>
      </c>
      <c r="G16" s="19">
        <f t="shared" si="2"/>
        <v>5084</v>
      </c>
      <c r="H16" s="37">
        <f t="shared" si="2"/>
        <v>192.59022711720263</v>
      </c>
      <c r="I16" s="19">
        <f t="shared" si="2"/>
        <v>7064</v>
      </c>
      <c r="J16" s="19">
        <f t="shared" si="2"/>
        <v>-1980</v>
      </c>
      <c r="K16" s="19">
        <f t="shared" si="2"/>
        <v>4203</v>
      </c>
      <c r="L16" s="37">
        <f t="shared" si="2"/>
        <v>103.23199041438234</v>
      </c>
      <c r="M16" s="52">
        <f t="shared" si="2"/>
        <v>4374</v>
      </c>
      <c r="N16" s="53">
        <f t="shared" si="2"/>
        <v>-233</v>
      </c>
      <c r="O16" s="53">
        <f t="shared" si="2"/>
        <v>3945</v>
      </c>
      <c r="P16" s="61">
        <f t="shared" si="2"/>
        <v>99.747543152996371</v>
      </c>
      <c r="Q16" s="54">
        <f t="shared" si="2"/>
        <v>5226</v>
      </c>
      <c r="R16" s="53">
        <f t="shared" si="2"/>
        <v>2611</v>
      </c>
    </row>
    <row r="17" spans="1:18" ht="15.75" x14ac:dyDescent="0.25">
      <c r="A17" s="138" t="s">
        <v>32</v>
      </c>
      <c r="B17" s="139"/>
      <c r="C17" s="96">
        <f>C16/105</f>
        <v>126.01904761904763</v>
      </c>
      <c r="D17" s="37">
        <f>D16/105</f>
        <v>1.6874466734368481</v>
      </c>
      <c r="E17" s="37">
        <f>E16/105</f>
        <v>133.80000000000001</v>
      </c>
      <c r="F17" s="37">
        <f>F16/105</f>
        <v>-7.7809523809523808</v>
      </c>
      <c r="G17" s="37">
        <f>G16/7</f>
        <v>726.28571428571433</v>
      </c>
      <c r="H17" s="37">
        <f t="shared" ref="H17:J17" si="3">H16/7</f>
        <v>27.512889588171806</v>
      </c>
      <c r="I17" s="37">
        <f t="shared" si="3"/>
        <v>1009.1428571428571</v>
      </c>
      <c r="J17" s="37">
        <f t="shared" si="3"/>
        <v>-282.85714285714283</v>
      </c>
      <c r="K17" s="37">
        <f>K16/16</f>
        <v>262.6875</v>
      </c>
      <c r="L17" s="37">
        <f>L16/16</f>
        <v>6.4519994008988961</v>
      </c>
      <c r="M17" s="97">
        <f>M16/16</f>
        <v>273.375</v>
      </c>
      <c r="N17" s="61">
        <f>N16/16</f>
        <v>-14.5625</v>
      </c>
      <c r="O17" s="61">
        <f>O16/74</f>
        <v>53.310810810810814</v>
      </c>
      <c r="P17" s="61">
        <f>P16/74</f>
        <v>1.3479397723377888</v>
      </c>
      <c r="Q17" s="61">
        <f>Q16/74</f>
        <v>70.621621621621628</v>
      </c>
      <c r="R17" s="61">
        <f>R16/74</f>
        <v>35.283783783783782</v>
      </c>
    </row>
    <row r="18" spans="1:18" ht="15.75" x14ac:dyDescent="0.25">
      <c r="A18" s="140" t="s">
        <v>24</v>
      </c>
      <c r="B18" s="141"/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2"/>
    </row>
    <row r="19" spans="1:18" ht="15" customHeight="1" x14ac:dyDescent="0.25">
      <c r="A19" s="14" t="s">
        <v>8</v>
      </c>
      <c r="B19" s="17" t="s">
        <v>25</v>
      </c>
      <c r="C19" s="14">
        <v>700</v>
      </c>
      <c r="D19" s="75">
        <f>C19/3863*100</f>
        <v>18.120631633445509</v>
      </c>
      <c r="E19" s="14">
        <v>1214</v>
      </c>
      <c r="F19" s="15">
        <f>C19-E19</f>
        <v>-514</v>
      </c>
      <c r="G19" s="77">
        <v>209</v>
      </c>
      <c r="H19" s="75">
        <f>G19/1591*100</f>
        <v>13.136392206159647</v>
      </c>
      <c r="I19" s="77">
        <v>396</v>
      </c>
      <c r="J19" s="77">
        <f>G19-I19</f>
        <v>-187</v>
      </c>
      <c r="K19" s="77">
        <v>35</v>
      </c>
      <c r="L19" s="75">
        <f>K19/121*100</f>
        <v>28.925619834710741</v>
      </c>
      <c r="M19" s="77">
        <v>53</v>
      </c>
      <c r="N19" s="77">
        <f>K19-M19</f>
        <v>-18</v>
      </c>
      <c r="O19" s="83">
        <v>456</v>
      </c>
      <c r="P19" s="86">
        <f>O19/2151*100</f>
        <v>21.199442119944212</v>
      </c>
      <c r="Q19" s="82">
        <v>802</v>
      </c>
      <c r="R19" s="83">
        <v>765</v>
      </c>
    </row>
    <row r="20" spans="1:18" ht="15.75" customHeight="1" x14ac:dyDescent="0.25">
      <c r="A20" s="14" t="s">
        <v>12</v>
      </c>
      <c r="B20" s="17" t="s">
        <v>26</v>
      </c>
      <c r="C20" s="14">
        <v>330</v>
      </c>
      <c r="D20" s="75">
        <f>C20/1347*100</f>
        <v>24.498886414253899</v>
      </c>
      <c r="E20" s="14">
        <v>251</v>
      </c>
      <c r="F20" s="15">
        <f>C20-E20</f>
        <v>79</v>
      </c>
      <c r="G20" s="77">
        <v>80</v>
      </c>
      <c r="H20" s="77">
        <f>G20/286*100</f>
        <v>27.972027972027973</v>
      </c>
      <c r="I20" s="77">
        <v>0</v>
      </c>
      <c r="J20" s="77">
        <v>0</v>
      </c>
      <c r="K20" s="77" t="s">
        <v>11</v>
      </c>
      <c r="L20" s="75" t="s">
        <v>11</v>
      </c>
      <c r="M20" s="77" t="s">
        <v>11</v>
      </c>
      <c r="N20" s="77" t="s">
        <v>11</v>
      </c>
      <c r="O20" s="83">
        <v>250</v>
      </c>
      <c r="P20" s="86">
        <f>O20/1061*100</f>
        <v>23.562676720075402</v>
      </c>
      <c r="Q20" s="82">
        <v>279</v>
      </c>
      <c r="R20" s="83">
        <v>251</v>
      </c>
    </row>
    <row r="21" spans="1:18" ht="15.75" x14ac:dyDescent="0.25">
      <c r="A21" s="14" t="s">
        <v>14</v>
      </c>
      <c r="B21" s="17" t="s">
        <v>27</v>
      </c>
      <c r="C21" s="14">
        <v>1378</v>
      </c>
      <c r="D21" s="75">
        <f>C21/4251*100</f>
        <v>32.415902140672785</v>
      </c>
      <c r="E21" s="14">
        <v>1349</v>
      </c>
      <c r="F21" s="15">
        <f>C21-E21</f>
        <v>29</v>
      </c>
      <c r="G21" s="77">
        <v>451</v>
      </c>
      <c r="H21" s="75">
        <f>G21/1368*100</f>
        <v>32.967836257309941</v>
      </c>
      <c r="I21" s="77">
        <v>547</v>
      </c>
      <c r="J21" s="77">
        <f>G21-I21</f>
        <v>-96</v>
      </c>
      <c r="K21" s="77" t="s">
        <v>11</v>
      </c>
      <c r="L21" s="75" t="s">
        <v>11</v>
      </c>
      <c r="M21" s="77" t="s">
        <v>11</v>
      </c>
      <c r="N21" s="77" t="s">
        <v>11</v>
      </c>
      <c r="O21" s="83">
        <v>927</v>
      </c>
      <c r="P21" s="86">
        <f>O21/2883*100</f>
        <v>32.154006243496355</v>
      </c>
      <c r="Q21" s="82">
        <v>1011</v>
      </c>
      <c r="R21" s="83">
        <v>802</v>
      </c>
    </row>
    <row r="22" spans="1:18" ht="14.25" customHeight="1" x14ac:dyDescent="0.25">
      <c r="A22" s="14" t="s">
        <v>16</v>
      </c>
      <c r="B22" s="17" t="s">
        <v>28</v>
      </c>
      <c r="C22" s="14">
        <v>1655</v>
      </c>
      <c r="D22" s="75">
        <f>C22/6432*100</f>
        <v>25.730721393034827</v>
      </c>
      <c r="E22" s="14">
        <v>1058</v>
      </c>
      <c r="F22" s="15">
        <f>C22-E22</f>
        <v>597</v>
      </c>
      <c r="G22" s="77">
        <v>1655</v>
      </c>
      <c r="H22" s="75">
        <f>G22/6432*100</f>
        <v>25.730721393034827</v>
      </c>
      <c r="I22" s="77">
        <v>1058</v>
      </c>
      <c r="J22" s="77">
        <f>G22-I22</f>
        <v>597</v>
      </c>
      <c r="K22" s="77">
        <v>0</v>
      </c>
      <c r="L22" s="77">
        <v>0</v>
      </c>
      <c r="M22" s="77">
        <v>0</v>
      </c>
      <c r="N22" s="77">
        <f>K22-M22</f>
        <v>0</v>
      </c>
      <c r="O22" s="77">
        <v>0</v>
      </c>
      <c r="P22" s="77">
        <v>0</v>
      </c>
      <c r="Q22" s="82">
        <v>1093</v>
      </c>
      <c r="R22" s="77">
        <v>0</v>
      </c>
    </row>
    <row r="23" spans="1:18" ht="15.75" x14ac:dyDescent="0.25">
      <c r="A23" s="114" t="s">
        <v>30</v>
      </c>
      <c r="B23" s="115"/>
      <c r="C23" s="45">
        <f t="shared" ref="C23:R23" si="4">SUM(C19:C22)</f>
        <v>4063</v>
      </c>
      <c r="D23" s="37">
        <f t="shared" si="4"/>
        <v>100.76614158140703</v>
      </c>
      <c r="E23" s="51">
        <f t="shared" si="4"/>
        <v>3872</v>
      </c>
      <c r="F23" s="51">
        <f t="shared" si="4"/>
        <v>191</v>
      </c>
      <c r="G23" s="19">
        <f t="shared" si="4"/>
        <v>2395</v>
      </c>
      <c r="H23" s="19">
        <f t="shared" si="4"/>
        <v>99.806977828532382</v>
      </c>
      <c r="I23" s="19">
        <f t="shared" si="4"/>
        <v>2001</v>
      </c>
      <c r="J23" s="19">
        <f t="shared" si="4"/>
        <v>314</v>
      </c>
      <c r="K23" s="19">
        <f t="shared" si="4"/>
        <v>35</v>
      </c>
      <c r="L23" s="37">
        <f t="shared" si="4"/>
        <v>28.925619834710741</v>
      </c>
      <c r="M23" s="52">
        <f t="shared" si="4"/>
        <v>53</v>
      </c>
      <c r="N23" s="19">
        <f t="shared" si="4"/>
        <v>-18</v>
      </c>
      <c r="O23" s="53">
        <f>SUM(O19:O22)</f>
        <v>1633</v>
      </c>
      <c r="P23" s="61">
        <f t="shared" si="4"/>
        <v>76.916125083515965</v>
      </c>
      <c r="Q23" s="53">
        <f t="shared" si="4"/>
        <v>3185</v>
      </c>
      <c r="R23" s="53">
        <f t="shared" si="4"/>
        <v>1818</v>
      </c>
    </row>
    <row r="24" spans="1:18" ht="15.75" x14ac:dyDescent="0.25">
      <c r="A24" s="138" t="s">
        <v>32</v>
      </c>
      <c r="B24" s="139"/>
      <c r="C24" s="46">
        <f>C23/87</f>
        <v>46.701149425287355</v>
      </c>
      <c r="D24" s="37">
        <f>D23/87</f>
        <v>1.1582315124299658</v>
      </c>
      <c r="E24" s="19">
        <f>E23/87</f>
        <v>44.505747126436781</v>
      </c>
      <c r="F24" s="19">
        <f>F23/87</f>
        <v>2.1954022988505746</v>
      </c>
      <c r="G24" s="19">
        <f t="shared" ref="G24:J24" si="5">G23/4</f>
        <v>598.75</v>
      </c>
      <c r="H24" s="19">
        <f t="shared" si="5"/>
        <v>24.951744457133096</v>
      </c>
      <c r="I24" s="19">
        <f t="shared" si="5"/>
        <v>500.25</v>
      </c>
      <c r="J24" s="19">
        <f t="shared" si="5"/>
        <v>78.5</v>
      </c>
      <c r="K24" s="19">
        <f>K23/3</f>
        <v>11.666666666666666</v>
      </c>
      <c r="L24" s="37">
        <f>L23/3</f>
        <v>9.641873278236913</v>
      </c>
      <c r="M24" s="52">
        <f>M23/3</f>
        <v>17.666666666666668</v>
      </c>
      <c r="N24" s="19">
        <f>N23/3</f>
        <v>-6</v>
      </c>
      <c r="O24" s="53">
        <f>O23/78</f>
        <v>20.935897435897434</v>
      </c>
      <c r="P24" s="61">
        <f>P23/78</f>
        <v>0.98610416773738419</v>
      </c>
      <c r="Q24" s="53">
        <f>Q23/78</f>
        <v>40.833333333333336</v>
      </c>
      <c r="R24" s="53">
        <f>R23/78</f>
        <v>23.307692307692307</v>
      </c>
    </row>
    <row r="25" spans="1:18" ht="27.75" customHeight="1" x14ac:dyDescent="0.25">
      <c r="A25" s="110" t="s">
        <v>29</v>
      </c>
      <c r="B25" s="111"/>
      <c r="C25" s="47">
        <f t="shared" ref="C25:R25" si="6">SUM(C16,C23)</f>
        <v>17295</v>
      </c>
      <c r="D25" s="58">
        <f t="shared" si="6"/>
        <v>277.94804229227611</v>
      </c>
      <c r="E25" s="47">
        <f t="shared" si="6"/>
        <v>17921</v>
      </c>
      <c r="F25" s="47">
        <f t="shared" si="6"/>
        <v>-626</v>
      </c>
      <c r="G25" s="48">
        <f t="shared" si="6"/>
        <v>7479</v>
      </c>
      <c r="H25" s="58">
        <f t="shared" si="6"/>
        <v>292.39720494573498</v>
      </c>
      <c r="I25" s="48">
        <f t="shared" si="6"/>
        <v>9065</v>
      </c>
      <c r="J25" s="48">
        <f t="shared" si="6"/>
        <v>-1666</v>
      </c>
      <c r="K25" s="48">
        <f t="shared" si="6"/>
        <v>4238</v>
      </c>
      <c r="L25" s="58">
        <f t="shared" si="6"/>
        <v>132.15761024909307</v>
      </c>
      <c r="M25" s="55">
        <f t="shared" si="6"/>
        <v>4427</v>
      </c>
      <c r="N25" s="48">
        <f t="shared" si="6"/>
        <v>-251</v>
      </c>
      <c r="O25" s="56">
        <f t="shared" si="6"/>
        <v>5578</v>
      </c>
      <c r="P25" s="62">
        <f t="shared" si="6"/>
        <v>176.66366823651234</v>
      </c>
      <c r="Q25" s="56">
        <f t="shared" si="6"/>
        <v>8411</v>
      </c>
      <c r="R25" s="56">
        <f t="shared" si="6"/>
        <v>4429</v>
      </c>
    </row>
    <row r="26" spans="1:18" ht="34.5" customHeight="1" x14ac:dyDescent="0.25">
      <c r="A26" s="110" t="s">
        <v>31</v>
      </c>
      <c r="B26" s="111"/>
      <c r="C26" s="48">
        <f>C25/192</f>
        <v>90.078125</v>
      </c>
      <c r="D26" s="58">
        <f>D25/192</f>
        <v>1.4476460536056048</v>
      </c>
      <c r="E26" s="48">
        <f>E25/192</f>
        <v>93.338541666666671</v>
      </c>
      <c r="F26" s="48">
        <f>F25/192</f>
        <v>-3.2604166666666665</v>
      </c>
      <c r="G26" s="48">
        <f t="shared" ref="G26:J26" si="7">G25/11</f>
        <v>679.90909090909088</v>
      </c>
      <c r="H26" s="58">
        <f t="shared" si="7"/>
        <v>26.581564085975909</v>
      </c>
      <c r="I26" s="48">
        <f t="shared" si="7"/>
        <v>824.09090909090912</v>
      </c>
      <c r="J26" s="48">
        <f t="shared" si="7"/>
        <v>-151.45454545454547</v>
      </c>
      <c r="K26" s="48">
        <f>K25/19</f>
        <v>223.05263157894737</v>
      </c>
      <c r="L26" s="58">
        <f>L25/19</f>
        <v>6.9556636973206878</v>
      </c>
      <c r="M26" s="55">
        <f>M25/19</f>
        <v>233</v>
      </c>
      <c r="N26" s="48">
        <f>N25/19</f>
        <v>-13.210526315789474</v>
      </c>
      <c r="O26" s="56">
        <f>O25/152</f>
        <v>36.69736842105263</v>
      </c>
      <c r="P26" s="62">
        <f>P25/152</f>
        <v>1.1622609752402127</v>
      </c>
      <c r="Q26" s="56">
        <f>Q25/152</f>
        <v>55.335526315789473</v>
      </c>
      <c r="R26" s="56">
        <f>R25/152</f>
        <v>29.138157894736842</v>
      </c>
    </row>
    <row r="27" spans="1:18" ht="15.7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</sheetData>
  <mergeCells count="27">
    <mergeCell ref="A2:R2"/>
    <mergeCell ref="A16:B16"/>
    <mergeCell ref="A17:B17"/>
    <mergeCell ref="C6:D6"/>
    <mergeCell ref="E6:E7"/>
    <mergeCell ref="F6:F7"/>
    <mergeCell ref="A4:A7"/>
    <mergeCell ref="B4:B7"/>
    <mergeCell ref="C4:F5"/>
    <mergeCell ref="O4:R5"/>
    <mergeCell ref="O6:P6"/>
    <mergeCell ref="Q6:Q7"/>
    <mergeCell ref="R6:R7"/>
    <mergeCell ref="A8:R8"/>
    <mergeCell ref="G6:H6"/>
    <mergeCell ref="I6:I7"/>
    <mergeCell ref="A23:B23"/>
    <mergeCell ref="A24:B24"/>
    <mergeCell ref="A25:B25"/>
    <mergeCell ref="A26:B26"/>
    <mergeCell ref="A18:R18"/>
    <mergeCell ref="J6:J7"/>
    <mergeCell ref="K6:L6"/>
    <mergeCell ref="M6:M7"/>
    <mergeCell ref="N6:N7"/>
    <mergeCell ref="K4:N5"/>
    <mergeCell ref="G4:J5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2:Q25"/>
  <sheetViews>
    <sheetView workbookViewId="0">
      <selection activeCell="Q25" sqref="Q25"/>
    </sheetView>
  </sheetViews>
  <sheetFormatPr defaultRowHeight="15" x14ac:dyDescent="0.25"/>
  <cols>
    <col min="1" max="1" width="5.28515625" customWidth="1"/>
    <col min="2" max="2" width="27.28515625" customWidth="1"/>
    <col min="3" max="3" width="23.85546875" customWidth="1"/>
    <col min="4" max="4" width="12.7109375" customWidth="1"/>
    <col min="5" max="5" width="18.140625" customWidth="1"/>
    <col min="6" max="6" width="9.5703125" customWidth="1"/>
    <col min="7" max="7" width="9.7109375" customWidth="1"/>
    <col min="8" max="8" width="7.85546875" customWidth="1"/>
    <col min="9" max="9" width="8.7109375" customWidth="1"/>
    <col min="10" max="10" width="9" customWidth="1"/>
    <col min="11" max="11" width="9.85546875" customWidth="1"/>
    <col min="12" max="13" width="8.42578125" customWidth="1"/>
    <col min="14" max="14" width="9.7109375" customWidth="1"/>
    <col min="15" max="15" width="8.85546875" customWidth="1"/>
    <col min="16" max="16" width="8.7109375" customWidth="1"/>
    <col min="17" max="17" width="9.7109375" customWidth="1"/>
  </cols>
  <sheetData>
    <row r="2" spans="1:17" ht="15.75" x14ac:dyDescent="0.25">
      <c r="A2" s="150" t="s">
        <v>92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</row>
    <row r="4" spans="1:17" ht="17.25" customHeight="1" x14ac:dyDescent="0.25">
      <c r="A4" s="103" t="s">
        <v>0</v>
      </c>
      <c r="B4" s="145" t="s">
        <v>1</v>
      </c>
      <c r="C4" s="104" t="s">
        <v>93</v>
      </c>
      <c r="D4" s="134" t="s">
        <v>47</v>
      </c>
      <c r="E4" s="135"/>
      <c r="F4" s="135"/>
      <c r="G4" s="135"/>
      <c r="H4" s="132"/>
      <c r="I4" s="134" t="s">
        <v>3</v>
      </c>
      <c r="J4" s="135"/>
      <c r="K4" s="132"/>
      <c r="L4" s="134" t="s">
        <v>45</v>
      </c>
      <c r="M4" s="135"/>
      <c r="N4" s="132"/>
      <c r="O4" s="134" t="s">
        <v>46</v>
      </c>
      <c r="P4" s="135"/>
      <c r="Q4" s="132"/>
    </row>
    <row r="5" spans="1:17" ht="15.75" customHeight="1" x14ac:dyDescent="0.25">
      <c r="A5" s="147"/>
      <c r="B5" s="151"/>
      <c r="C5" s="148"/>
      <c r="D5" s="145" t="s">
        <v>94</v>
      </c>
      <c r="E5" s="145" t="s">
        <v>48</v>
      </c>
      <c r="F5" s="145" t="s">
        <v>80</v>
      </c>
      <c r="G5" s="145" t="s">
        <v>49</v>
      </c>
      <c r="H5" s="145" t="s">
        <v>43</v>
      </c>
      <c r="I5" s="145" t="s">
        <v>88</v>
      </c>
      <c r="J5" s="145" t="s">
        <v>80</v>
      </c>
      <c r="K5" s="145" t="s">
        <v>49</v>
      </c>
      <c r="L5" s="145" t="s">
        <v>88</v>
      </c>
      <c r="M5" s="145" t="s">
        <v>80</v>
      </c>
      <c r="N5" s="145" t="s">
        <v>49</v>
      </c>
      <c r="O5" s="145" t="s">
        <v>88</v>
      </c>
      <c r="P5" s="145" t="s">
        <v>80</v>
      </c>
      <c r="Q5" s="145" t="s">
        <v>49</v>
      </c>
    </row>
    <row r="6" spans="1:17" ht="29.25" customHeight="1" x14ac:dyDescent="0.25">
      <c r="A6" s="152"/>
      <c r="B6" s="146"/>
      <c r="C6" s="137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</row>
    <row r="7" spans="1:17" ht="15.75" x14ac:dyDescent="0.25">
      <c r="A7" s="140" t="s">
        <v>7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21"/>
      <c r="M7" s="21"/>
      <c r="N7" s="21"/>
      <c r="O7" s="21"/>
      <c r="P7" s="21"/>
      <c r="Q7" s="21"/>
    </row>
    <row r="8" spans="1:17" ht="15.95" customHeight="1" x14ac:dyDescent="0.25">
      <c r="A8" s="14" t="s">
        <v>8</v>
      </c>
      <c r="B8" s="17" t="s">
        <v>9</v>
      </c>
      <c r="C8" s="70">
        <v>152237</v>
      </c>
      <c r="D8" s="77">
        <v>325399</v>
      </c>
      <c r="E8" s="79">
        <f t="shared" ref="E8:E14" si="0">D8/C8</f>
        <v>2.137450159947976</v>
      </c>
      <c r="F8" s="77">
        <v>282443</v>
      </c>
      <c r="G8" s="77">
        <f t="shared" ref="G8:G14" si="1">D8-F8</f>
        <v>42956</v>
      </c>
      <c r="H8" s="75">
        <f t="shared" ref="H8:H14" si="2">G8/D8*100</f>
        <v>13.201023973644663</v>
      </c>
      <c r="I8" s="77">
        <v>96667</v>
      </c>
      <c r="J8" s="77">
        <v>88242</v>
      </c>
      <c r="K8" s="87">
        <f t="shared" ref="K8:K14" si="3">I8-J8</f>
        <v>8425</v>
      </c>
      <c r="L8" s="85">
        <f>216808+11924</f>
        <v>228732</v>
      </c>
      <c r="M8" s="85">
        <f>182640+11561</f>
        <v>194201</v>
      </c>
      <c r="N8" s="85">
        <f>L8-M8</f>
        <v>34531</v>
      </c>
      <c r="O8" s="85" t="s">
        <v>11</v>
      </c>
      <c r="P8" s="85" t="s">
        <v>11</v>
      </c>
      <c r="Q8" s="85" t="s">
        <v>11</v>
      </c>
    </row>
    <row r="9" spans="1:17" ht="15.95" customHeight="1" x14ac:dyDescent="0.25">
      <c r="A9" s="14" t="s">
        <v>12</v>
      </c>
      <c r="B9" s="17" t="s">
        <v>13</v>
      </c>
      <c r="C9" s="71">
        <v>59419</v>
      </c>
      <c r="D9" s="77">
        <v>160905</v>
      </c>
      <c r="E9" s="79">
        <f t="shared" si="0"/>
        <v>2.7079721974452617</v>
      </c>
      <c r="F9" s="77">
        <v>135444</v>
      </c>
      <c r="G9" s="77">
        <f t="shared" si="1"/>
        <v>25461</v>
      </c>
      <c r="H9" s="75">
        <f t="shared" si="2"/>
        <v>15.823622634473757</v>
      </c>
      <c r="I9" s="77">
        <v>34864</v>
      </c>
      <c r="J9" s="77">
        <v>34022</v>
      </c>
      <c r="K9" s="87">
        <f t="shared" si="3"/>
        <v>842</v>
      </c>
      <c r="L9" s="85">
        <v>9392</v>
      </c>
      <c r="M9" s="85">
        <v>9042</v>
      </c>
      <c r="N9" s="85">
        <f>L9-M9</f>
        <v>350</v>
      </c>
      <c r="O9" s="85">
        <v>116649</v>
      </c>
      <c r="P9" s="85">
        <v>92380</v>
      </c>
      <c r="Q9" s="85">
        <f>O9-P9</f>
        <v>24269</v>
      </c>
    </row>
    <row r="10" spans="1:17" ht="15.95" customHeight="1" x14ac:dyDescent="0.25">
      <c r="A10" s="14" t="s">
        <v>14</v>
      </c>
      <c r="B10" s="17" t="s">
        <v>15</v>
      </c>
      <c r="C10" s="70">
        <v>37404</v>
      </c>
      <c r="D10" s="77">
        <v>185719</v>
      </c>
      <c r="E10" s="79">
        <f t="shared" si="0"/>
        <v>4.9652176237835528</v>
      </c>
      <c r="F10" s="77">
        <v>165570</v>
      </c>
      <c r="G10" s="77">
        <f t="shared" si="1"/>
        <v>20149</v>
      </c>
      <c r="H10" s="75">
        <f t="shared" si="2"/>
        <v>10.849186136044239</v>
      </c>
      <c r="I10" s="77">
        <v>119647</v>
      </c>
      <c r="J10" s="77">
        <v>111768</v>
      </c>
      <c r="K10" s="87">
        <f t="shared" si="3"/>
        <v>7879</v>
      </c>
      <c r="L10" s="85">
        <v>6983</v>
      </c>
      <c r="M10" s="85">
        <v>6083</v>
      </c>
      <c r="N10" s="85">
        <f>L10-M10</f>
        <v>900</v>
      </c>
      <c r="O10" s="85">
        <v>59089</v>
      </c>
      <c r="P10" s="85">
        <v>47719</v>
      </c>
      <c r="Q10" s="85">
        <f>O10-P10</f>
        <v>11370</v>
      </c>
    </row>
    <row r="11" spans="1:17" ht="15.95" customHeight="1" x14ac:dyDescent="0.25">
      <c r="A11" s="14" t="s">
        <v>16</v>
      </c>
      <c r="B11" s="17" t="s">
        <v>17</v>
      </c>
      <c r="C11" s="72">
        <v>4066</v>
      </c>
      <c r="D11" s="77">
        <v>16085</v>
      </c>
      <c r="E11" s="79">
        <f t="shared" si="0"/>
        <v>3.955976389572061</v>
      </c>
      <c r="F11" s="77">
        <v>12255</v>
      </c>
      <c r="G11" s="77">
        <f t="shared" si="1"/>
        <v>3830</v>
      </c>
      <c r="H11" s="75">
        <f t="shared" si="2"/>
        <v>23.811004041032017</v>
      </c>
      <c r="I11" s="77">
        <v>6660</v>
      </c>
      <c r="J11" s="77">
        <v>6385</v>
      </c>
      <c r="K11" s="87">
        <f t="shared" si="3"/>
        <v>275</v>
      </c>
      <c r="L11" s="85">
        <v>9425</v>
      </c>
      <c r="M11" s="85">
        <v>5870</v>
      </c>
      <c r="N11" s="85">
        <f>L11-M11</f>
        <v>3555</v>
      </c>
      <c r="O11" s="85" t="s">
        <v>11</v>
      </c>
      <c r="P11" s="85" t="s">
        <v>11</v>
      </c>
      <c r="Q11" s="85" t="s">
        <v>11</v>
      </c>
    </row>
    <row r="12" spans="1:17" ht="15.95" customHeight="1" x14ac:dyDescent="0.25">
      <c r="A12" s="14" t="s">
        <v>18</v>
      </c>
      <c r="B12" s="17" t="s">
        <v>19</v>
      </c>
      <c r="C12" s="72">
        <v>16976</v>
      </c>
      <c r="D12" s="77">
        <v>70282</v>
      </c>
      <c r="E12" s="79">
        <f t="shared" si="0"/>
        <v>4.140080113100848</v>
      </c>
      <c r="F12" s="77">
        <v>56072</v>
      </c>
      <c r="G12" s="77">
        <f t="shared" si="1"/>
        <v>14210</v>
      </c>
      <c r="H12" s="75">
        <f t="shared" si="2"/>
        <v>20.218548134657521</v>
      </c>
      <c r="I12" s="77">
        <v>70282</v>
      </c>
      <c r="J12" s="77">
        <v>56072</v>
      </c>
      <c r="K12" s="87">
        <f t="shared" si="3"/>
        <v>14210</v>
      </c>
      <c r="L12" s="85" t="s">
        <v>11</v>
      </c>
      <c r="M12" s="85" t="s">
        <v>11</v>
      </c>
      <c r="N12" s="85" t="s">
        <v>11</v>
      </c>
      <c r="O12" s="85" t="s">
        <v>11</v>
      </c>
      <c r="P12" s="85" t="s">
        <v>11</v>
      </c>
      <c r="Q12" s="85" t="s">
        <v>11</v>
      </c>
    </row>
    <row r="13" spans="1:17" ht="15.95" customHeight="1" x14ac:dyDescent="0.25">
      <c r="A13" s="14" t="s">
        <v>20</v>
      </c>
      <c r="B13" s="17" t="s">
        <v>21</v>
      </c>
      <c r="C13" s="72">
        <v>15831</v>
      </c>
      <c r="D13" s="77">
        <v>54478</v>
      </c>
      <c r="E13" s="79">
        <f t="shared" si="0"/>
        <v>3.4412229170614617</v>
      </c>
      <c r="F13" s="77">
        <v>43093</v>
      </c>
      <c r="G13" s="77">
        <f t="shared" si="1"/>
        <v>11385</v>
      </c>
      <c r="H13" s="75">
        <f t="shared" si="2"/>
        <v>20.898344285766733</v>
      </c>
      <c r="I13" s="77">
        <v>20687</v>
      </c>
      <c r="J13" s="77">
        <v>14114</v>
      </c>
      <c r="K13" s="87">
        <f t="shared" si="3"/>
        <v>6573</v>
      </c>
      <c r="L13" s="85">
        <v>3316</v>
      </c>
      <c r="M13" s="85">
        <v>2360</v>
      </c>
      <c r="N13" s="85">
        <f>L13-M13</f>
        <v>956</v>
      </c>
      <c r="O13" s="85">
        <v>30475</v>
      </c>
      <c r="P13" s="85">
        <v>26619</v>
      </c>
      <c r="Q13" s="85">
        <f>O13-P13</f>
        <v>3856</v>
      </c>
    </row>
    <row r="14" spans="1:17" ht="15.95" customHeight="1" x14ac:dyDescent="0.25">
      <c r="A14" s="14" t="s">
        <v>22</v>
      </c>
      <c r="B14" s="17" t="s">
        <v>23</v>
      </c>
      <c r="C14" s="72">
        <v>38493</v>
      </c>
      <c r="D14" s="77">
        <v>147341</v>
      </c>
      <c r="E14" s="79">
        <f t="shared" si="0"/>
        <v>3.8277349128412959</v>
      </c>
      <c r="F14" s="77">
        <v>121077</v>
      </c>
      <c r="G14" s="77">
        <f t="shared" si="1"/>
        <v>26264</v>
      </c>
      <c r="H14" s="75">
        <f t="shared" si="2"/>
        <v>17.825316782158396</v>
      </c>
      <c r="I14" s="77">
        <v>45671</v>
      </c>
      <c r="J14" s="77">
        <v>30042</v>
      </c>
      <c r="K14" s="87">
        <f t="shared" si="3"/>
        <v>15629</v>
      </c>
      <c r="L14" s="85" t="s">
        <v>11</v>
      </c>
      <c r="M14" s="85" t="s">
        <v>11</v>
      </c>
      <c r="N14" s="85" t="s">
        <v>11</v>
      </c>
      <c r="O14" s="85">
        <v>101670</v>
      </c>
      <c r="P14" s="81">
        <v>93375</v>
      </c>
      <c r="Q14" s="85">
        <f>O14-P14</f>
        <v>8295</v>
      </c>
    </row>
    <row r="15" spans="1:17" ht="15.95" customHeight="1" x14ac:dyDescent="0.25">
      <c r="A15" s="114" t="s">
        <v>30</v>
      </c>
      <c r="B15" s="115"/>
      <c r="C15" s="46">
        <f t="shared" ref="C15:Q15" si="4">SUM(C8:C14)</f>
        <v>324426</v>
      </c>
      <c r="D15" s="19">
        <f t="shared" si="4"/>
        <v>960209</v>
      </c>
      <c r="E15" s="37">
        <f t="shared" si="4"/>
        <v>25.17565431375246</v>
      </c>
      <c r="F15" s="19">
        <f t="shared" si="4"/>
        <v>815954</v>
      </c>
      <c r="G15" s="19">
        <f t="shared" si="4"/>
        <v>144255</v>
      </c>
      <c r="H15" s="19">
        <f t="shared" si="4"/>
        <v>122.62704598777732</v>
      </c>
      <c r="I15" s="19">
        <f t="shared" si="4"/>
        <v>394478</v>
      </c>
      <c r="J15" s="19">
        <f t="shared" si="4"/>
        <v>340645</v>
      </c>
      <c r="K15" s="52">
        <f t="shared" si="4"/>
        <v>53833</v>
      </c>
      <c r="L15" s="53">
        <f t="shared" si="4"/>
        <v>257848</v>
      </c>
      <c r="M15" s="53">
        <f t="shared" si="4"/>
        <v>217556</v>
      </c>
      <c r="N15" s="53">
        <f t="shared" si="4"/>
        <v>40292</v>
      </c>
      <c r="O15" s="53">
        <f t="shared" si="4"/>
        <v>307883</v>
      </c>
      <c r="P15" s="53">
        <f t="shared" si="4"/>
        <v>260093</v>
      </c>
      <c r="Q15" s="53">
        <f t="shared" si="4"/>
        <v>47790</v>
      </c>
    </row>
    <row r="16" spans="1:17" ht="15.95" customHeight="1" x14ac:dyDescent="0.25">
      <c r="A16" s="112" t="s">
        <v>32</v>
      </c>
      <c r="B16" s="113"/>
      <c r="C16" s="46">
        <f t="shared" ref="C16:H16" si="5">C15/105</f>
        <v>3089.7714285714287</v>
      </c>
      <c r="D16" s="19">
        <f t="shared" si="5"/>
        <v>9144.8476190476194</v>
      </c>
      <c r="E16" s="36">
        <f t="shared" si="5"/>
        <v>0.239768136321452</v>
      </c>
      <c r="F16" s="19">
        <f t="shared" si="5"/>
        <v>7770.9904761904763</v>
      </c>
      <c r="G16" s="19">
        <f t="shared" si="5"/>
        <v>1373.8571428571429</v>
      </c>
      <c r="H16" s="37">
        <f t="shared" si="5"/>
        <v>1.1678766284550222</v>
      </c>
      <c r="I16" s="19">
        <f>I15/7</f>
        <v>56354</v>
      </c>
      <c r="J16" s="19">
        <f t="shared" ref="J16:K16" si="6">J15/7</f>
        <v>48663.571428571428</v>
      </c>
      <c r="K16" s="19">
        <f t="shared" si="6"/>
        <v>7690.4285714285716</v>
      </c>
      <c r="L16" s="53">
        <f>L15/16</f>
        <v>16115.5</v>
      </c>
      <c r="M16" s="53">
        <f>M15/16</f>
        <v>13597.25</v>
      </c>
      <c r="N16" s="53">
        <f>N15/16</f>
        <v>2518.25</v>
      </c>
      <c r="O16" s="53">
        <f>O15/74</f>
        <v>4160.5810810810808</v>
      </c>
      <c r="P16" s="53">
        <f>P15/74</f>
        <v>3514.7702702702704</v>
      </c>
      <c r="Q16" s="53">
        <f>Q15/74</f>
        <v>645.81081081081084</v>
      </c>
    </row>
    <row r="17" spans="1:17" ht="15.95" customHeight="1" x14ac:dyDescent="0.25">
      <c r="A17" s="140" t="s">
        <v>24</v>
      </c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21"/>
      <c r="M17" s="21"/>
      <c r="N17" s="21"/>
      <c r="O17" s="21"/>
      <c r="P17" s="21"/>
      <c r="Q17" s="21"/>
    </row>
    <row r="18" spans="1:17" ht="15.95" customHeight="1" x14ac:dyDescent="0.25">
      <c r="A18" s="14" t="s">
        <v>8</v>
      </c>
      <c r="B18" s="17" t="s">
        <v>25</v>
      </c>
      <c r="C18" s="72">
        <v>24668</v>
      </c>
      <c r="D18" s="77">
        <v>86433</v>
      </c>
      <c r="E18" s="79">
        <f>D18/C18</f>
        <v>3.5038511431814499</v>
      </c>
      <c r="F18" s="77">
        <v>78687</v>
      </c>
      <c r="G18" s="77">
        <f>-D18-F18</f>
        <v>-165120</v>
      </c>
      <c r="H18" s="75">
        <f>G18/D18*100</f>
        <v>-191.03814515289298</v>
      </c>
      <c r="I18" s="77">
        <v>25585</v>
      </c>
      <c r="J18" s="77">
        <v>17102</v>
      </c>
      <c r="K18" s="87">
        <f>I18-J18</f>
        <v>8483</v>
      </c>
      <c r="L18" s="85">
        <v>3340</v>
      </c>
      <c r="M18" s="85">
        <v>3733</v>
      </c>
      <c r="N18" s="85">
        <f>L18-M18</f>
        <v>-393</v>
      </c>
      <c r="O18" s="85">
        <v>57508</v>
      </c>
      <c r="P18" s="85">
        <v>57852</v>
      </c>
      <c r="Q18" s="85">
        <f>O18-P18</f>
        <v>-344</v>
      </c>
    </row>
    <row r="19" spans="1:17" ht="15.95" customHeight="1" x14ac:dyDescent="0.25">
      <c r="A19" s="14" t="s">
        <v>12</v>
      </c>
      <c r="B19" s="17" t="s">
        <v>26</v>
      </c>
      <c r="C19" s="72">
        <v>7236</v>
      </c>
      <c r="D19" s="77">
        <v>27854</v>
      </c>
      <c r="E19" s="79">
        <f>D19/C19</f>
        <v>3.8493642896627973</v>
      </c>
      <c r="F19" s="77">
        <v>24081</v>
      </c>
      <c r="G19" s="77">
        <f>D19-F19</f>
        <v>3773</v>
      </c>
      <c r="H19" s="75">
        <f>G19/D19*100</f>
        <v>13.545630789114668</v>
      </c>
      <c r="I19" s="77">
        <v>16440</v>
      </c>
      <c r="J19" s="77">
        <v>12654</v>
      </c>
      <c r="K19" s="87">
        <f>I19-J19</f>
        <v>3786</v>
      </c>
      <c r="L19" s="85" t="s">
        <v>11</v>
      </c>
      <c r="M19" s="85" t="s">
        <v>11</v>
      </c>
      <c r="N19" s="85" t="s">
        <v>11</v>
      </c>
      <c r="O19" s="85">
        <v>11414</v>
      </c>
      <c r="P19" s="85">
        <v>11427</v>
      </c>
      <c r="Q19" s="85">
        <f>O19-P19</f>
        <v>-13</v>
      </c>
    </row>
    <row r="20" spans="1:17" ht="15.95" customHeight="1" x14ac:dyDescent="0.25">
      <c r="A20" s="14" t="s">
        <v>14</v>
      </c>
      <c r="B20" s="17" t="s">
        <v>27</v>
      </c>
      <c r="C20" s="72">
        <v>21586</v>
      </c>
      <c r="D20" s="77">
        <v>70176</v>
      </c>
      <c r="E20" s="79">
        <f>D20/C20</f>
        <v>3.2509960159362552</v>
      </c>
      <c r="F20" s="77">
        <v>57738</v>
      </c>
      <c r="G20" s="77">
        <f>D20-F20</f>
        <v>12438</v>
      </c>
      <c r="H20" s="75">
        <f>G20/D20*100</f>
        <v>17.724008207934336</v>
      </c>
      <c r="I20" s="77">
        <v>32943</v>
      </c>
      <c r="J20" s="77">
        <v>27560</v>
      </c>
      <c r="K20" s="87">
        <f>I20-J20</f>
        <v>5383</v>
      </c>
      <c r="L20" s="85" t="s">
        <v>11</v>
      </c>
      <c r="M20" s="85" t="s">
        <v>11</v>
      </c>
      <c r="N20" s="85" t="s">
        <v>11</v>
      </c>
      <c r="O20" s="85">
        <v>37233</v>
      </c>
      <c r="P20" s="85">
        <v>30178</v>
      </c>
      <c r="Q20" s="85">
        <f>O20-P20</f>
        <v>7055</v>
      </c>
    </row>
    <row r="21" spans="1:17" ht="15.95" customHeight="1" x14ac:dyDescent="0.25">
      <c r="A21" s="14" t="s">
        <v>16</v>
      </c>
      <c r="B21" s="17" t="s">
        <v>28</v>
      </c>
      <c r="C21" s="72">
        <v>37403</v>
      </c>
      <c r="D21" s="77">
        <v>121468</v>
      </c>
      <c r="E21" s="79">
        <f>D21/C21</f>
        <v>3.2475469882095021</v>
      </c>
      <c r="F21" s="77">
        <v>90545</v>
      </c>
      <c r="G21" s="77">
        <f>D21-F21</f>
        <v>30923</v>
      </c>
      <c r="H21" s="75">
        <f>G21/D21*100</f>
        <v>25.457733724108405</v>
      </c>
      <c r="I21" s="77">
        <v>38612</v>
      </c>
      <c r="J21" s="77">
        <v>33360</v>
      </c>
      <c r="K21" s="87">
        <f>I21-J21</f>
        <v>5252</v>
      </c>
      <c r="L21" s="85">
        <v>10801</v>
      </c>
      <c r="M21" s="85">
        <v>6327</v>
      </c>
      <c r="N21" s="85">
        <f>L21-M21</f>
        <v>4474</v>
      </c>
      <c r="O21" s="85">
        <v>72055</v>
      </c>
      <c r="P21" s="85">
        <v>50858</v>
      </c>
      <c r="Q21" s="85">
        <f>O21-P21</f>
        <v>21197</v>
      </c>
    </row>
    <row r="22" spans="1:17" ht="15.95" customHeight="1" x14ac:dyDescent="0.25">
      <c r="A22" s="155" t="s">
        <v>30</v>
      </c>
      <c r="B22" s="156"/>
      <c r="C22" s="46">
        <f t="shared" ref="C22:Q22" si="7">SUM(C18:C21)</f>
        <v>90893</v>
      </c>
      <c r="D22" s="19">
        <f t="shared" si="7"/>
        <v>305931</v>
      </c>
      <c r="E22" s="37">
        <f t="shared" si="7"/>
        <v>13.851758436990004</v>
      </c>
      <c r="F22" s="19">
        <f t="shared" si="7"/>
        <v>251051</v>
      </c>
      <c r="G22" s="19">
        <f t="shared" si="7"/>
        <v>-117986</v>
      </c>
      <c r="H22" s="19">
        <f t="shared" si="7"/>
        <v>-134.31077243173556</v>
      </c>
      <c r="I22" s="19">
        <f t="shared" si="7"/>
        <v>113580</v>
      </c>
      <c r="J22" s="19">
        <f t="shared" si="7"/>
        <v>90676</v>
      </c>
      <c r="K22" s="52">
        <f t="shared" si="7"/>
        <v>22904</v>
      </c>
      <c r="L22" s="53">
        <f t="shared" si="7"/>
        <v>14141</v>
      </c>
      <c r="M22" s="54">
        <f>SUM(M18:M21)</f>
        <v>10060</v>
      </c>
      <c r="N22" s="53">
        <f t="shared" si="7"/>
        <v>4081</v>
      </c>
      <c r="O22" s="53">
        <f t="shared" si="7"/>
        <v>178210</v>
      </c>
      <c r="P22" s="53">
        <f t="shared" si="7"/>
        <v>150315</v>
      </c>
      <c r="Q22" s="53">
        <f t="shared" si="7"/>
        <v>27895</v>
      </c>
    </row>
    <row r="23" spans="1:17" ht="15.95" customHeight="1" x14ac:dyDescent="0.25">
      <c r="A23" s="157" t="s">
        <v>32</v>
      </c>
      <c r="B23" s="158"/>
      <c r="C23" s="46">
        <f t="shared" ref="C23:H23" si="8">C22/87</f>
        <v>1044.7471264367816</v>
      </c>
      <c r="D23" s="19">
        <f t="shared" si="8"/>
        <v>3516.4482758620688</v>
      </c>
      <c r="E23" s="36">
        <f t="shared" si="8"/>
        <v>0.1592156142182759</v>
      </c>
      <c r="F23" s="19">
        <f t="shared" si="8"/>
        <v>2885.6436781609195</v>
      </c>
      <c r="G23" s="19">
        <f t="shared" si="8"/>
        <v>-1356.16091954023</v>
      </c>
      <c r="H23" s="37">
        <f t="shared" si="8"/>
        <v>-1.5438019819739719</v>
      </c>
      <c r="I23" s="19">
        <f t="shared" ref="I23:K23" si="9">I22/4</f>
        <v>28395</v>
      </c>
      <c r="J23" s="19">
        <f t="shared" si="9"/>
        <v>22669</v>
      </c>
      <c r="K23" s="19">
        <f t="shared" si="9"/>
        <v>5726</v>
      </c>
      <c r="L23" s="53">
        <f>L22/3</f>
        <v>4713.666666666667</v>
      </c>
      <c r="M23" s="53">
        <f>M22/3</f>
        <v>3353.3333333333335</v>
      </c>
      <c r="N23" s="53">
        <f>N22/3</f>
        <v>1360.3333333333333</v>
      </c>
      <c r="O23" s="53">
        <f>O22/78</f>
        <v>2284.7435897435898</v>
      </c>
      <c r="P23" s="53">
        <f>P22/78</f>
        <v>1927.1153846153845</v>
      </c>
      <c r="Q23" s="53">
        <f>Q22/78</f>
        <v>357.62820512820514</v>
      </c>
    </row>
    <row r="24" spans="1:17" ht="30.75" customHeight="1" x14ac:dyDescent="0.25">
      <c r="A24" s="153" t="s">
        <v>29</v>
      </c>
      <c r="B24" s="154"/>
      <c r="C24" s="48">
        <f t="shared" ref="C24:Q24" si="10">SUM(C15,C22)</f>
        <v>415319</v>
      </c>
      <c r="D24" s="48">
        <f t="shared" si="10"/>
        <v>1266140</v>
      </c>
      <c r="E24" s="58">
        <f t="shared" si="10"/>
        <v>39.027412750742464</v>
      </c>
      <c r="F24" s="48">
        <f t="shared" si="10"/>
        <v>1067005</v>
      </c>
      <c r="G24" s="48">
        <f t="shared" si="10"/>
        <v>26269</v>
      </c>
      <c r="H24" s="48">
        <f t="shared" si="10"/>
        <v>-11.683726443958236</v>
      </c>
      <c r="I24" s="48">
        <f t="shared" si="10"/>
        <v>508058</v>
      </c>
      <c r="J24" s="48">
        <f t="shared" si="10"/>
        <v>431321</v>
      </c>
      <c r="K24" s="55">
        <f t="shared" si="10"/>
        <v>76737</v>
      </c>
      <c r="L24" s="56">
        <f t="shared" si="10"/>
        <v>271989</v>
      </c>
      <c r="M24" s="56">
        <f t="shared" si="10"/>
        <v>227616</v>
      </c>
      <c r="N24" s="56">
        <f t="shared" si="10"/>
        <v>44373</v>
      </c>
      <c r="O24" s="56">
        <f t="shared" si="10"/>
        <v>486093</v>
      </c>
      <c r="P24" s="56">
        <f t="shared" si="10"/>
        <v>410408</v>
      </c>
      <c r="Q24" s="56">
        <f t="shared" si="10"/>
        <v>75685</v>
      </c>
    </row>
    <row r="25" spans="1:17" ht="34.5" customHeight="1" x14ac:dyDescent="0.25">
      <c r="A25" s="153" t="s">
        <v>31</v>
      </c>
      <c r="B25" s="154"/>
      <c r="C25" s="48">
        <f t="shared" ref="C25:H25" si="11">C24/192</f>
        <v>2163.1197916666665</v>
      </c>
      <c r="D25" s="48">
        <f t="shared" si="11"/>
        <v>6594.479166666667</v>
      </c>
      <c r="E25" s="60">
        <f t="shared" si="11"/>
        <v>0.20326777474345034</v>
      </c>
      <c r="F25" s="48">
        <f t="shared" si="11"/>
        <v>5557.317708333333</v>
      </c>
      <c r="G25" s="48">
        <f t="shared" si="11"/>
        <v>136.81770833333334</v>
      </c>
      <c r="H25" s="60">
        <f t="shared" si="11"/>
        <v>-6.0852741895615813E-2</v>
      </c>
      <c r="I25" s="48">
        <f>I24/11</f>
        <v>46187.090909090912</v>
      </c>
      <c r="J25" s="48">
        <f t="shared" ref="J25:K25" si="12">J24/11</f>
        <v>39211</v>
      </c>
      <c r="K25" s="48">
        <f t="shared" si="12"/>
        <v>6976.090909090909</v>
      </c>
      <c r="L25" s="48">
        <f>L24/19</f>
        <v>14315.21052631579</v>
      </c>
      <c r="M25" s="55">
        <f>M24/19</f>
        <v>11979.78947368421</v>
      </c>
      <c r="N25" s="48">
        <f>N24/19</f>
        <v>2335.4210526315787</v>
      </c>
      <c r="O25" s="56">
        <f>O24/152</f>
        <v>3197.9802631578946</v>
      </c>
      <c r="P25" s="56">
        <f>P24/152</f>
        <v>2700.0526315789475</v>
      </c>
      <c r="Q25" s="56">
        <f>Q24/152</f>
        <v>497.92763157894734</v>
      </c>
    </row>
  </sheetData>
  <mergeCells count="30">
    <mergeCell ref="L5:L6"/>
    <mergeCell ref="N5:N6"/>
    <mergeCell ref="O5:O6"/>
    <mergeCell ref="D5:D6"/>
    <mergeCell ref="E5:E6"/>
    <mergeCell ref="H5:H6"/>
    <mergeCell ref="A24:B24"/>
    <mergeCell ref="A25:B25"/>
    <mergeCell ref="A7:K7"/>
    <mergeCell ref="A15:B15"/>
    <mergeCell ref="A17:K17"/>
    <mergeCell ref="A22:B22"/>
    <mergeCell ref="A16:B16"/>
    <mergeCell ref="A23:B23"/>
    <mergeCell ref="O4:Q4"/>
    <mergeCell ref="P5:P6"/>
    <mergeCell ref="Q5:Q6"/>
    <mergeCell ref="A2:Q2"/>
    <mergeCell ref="C4:C6"/>
    <mergeCell ref="B4:B6"/>
    <mergeCell ref="A4:A6"/>
    <mergeCell ref="I4:K4"/>
    <mergeCell ref="L4:N4"/>
    <mergeCell ref="M5:M6"/>
    <mergeCell ref="J5:J6"/>
    <mergeCell ref="I5:I6"/>
    <mergeCell ref="D4:H4"/>
    <mergeCell ref="F5:F6"/>
    <mergeCell ref="G5:G6"/>
    <mergeCell ref="K5:K6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2:N25"/>
  <sheetViews>
    <sheetView workbookViewId="0">
      <selection activeCell="N25" sqref="N25"/>
    </sheetView>
  </sheetViews>
  <sheetFormatPr defaultRowHeight="15" x14ac:dyDescent="0.25"/>
  <cols>
    <col min="1" max="1" width="5.140625" customWidth="1"/>
    <col min="2" max="2" width="27.7109375" customWidth="1"/>
    <col min="3" max="3" width="10.5703125" customWidth="1"/>
    <col min="4" max="4" width="9.85546875" customWidth="1"/>
    <col min="5" max="5" width="10.42578125" customWidth="1"/>
    <col min="7" max="7" width="9.5703125" bestFit="1" customWidth="1"/>
    <col min="8" max="8" width="10" customWidth="1"/>
    <col min="11" max="11" width="9.85546875" customWidth="1"/>
    <col min="14" max="14" width="10.28515625" customWidth="1"/>
  </cols>
  <sheetData>
    <row r="2" spans="1:14" ht="15.75" x14ac:dyDescent="0.25">
      <c r="A2" s="143" t="s">
        <v>95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</row>
    <row r="4" spans="1:14" ht="9.75" customHeight="1" x14ac:dyDescent="0.25">
      <c r="A4" s="103" t="s">
        <v>0</v>
      </c>
      <c r="B4" s="145" t="s">
        <v>1</v>
      </c>
      <c r="C4" s="134" t="s">
        <v>47</v>
      </c>
      <c r="D4" s="135"/>
      <c r="E4" s="135"/>
      <c r="F4" s="134" t="s">
        <v>3</v>
      </c>
      <c r="G4" s="135"/>
      <c r="H4" s="132"/>
      <c r="I4" s="134" t="s">
        <v>45</v>
      </c>
      <c r="J4" s="135"/>
      <c r="K4" s="132"/>
      <c r="L4" s="134" t="s">
        <v>46</v>
      </c>
      <c r="M4" s="135"/>
      <c r="N4" s="132"/>
    </row>
    <row r="5" spans="1:14" ht="8.25" customHeight="1" x14ac:dyDescent="0.25">
      <c r="A5" s="147"/>
      <c r="B5" s="151"/>
      <c r="C5" s="136"/>
      <c r="D5" s="137"/>
      <c r="E5" s="137"/>
      <c r="F5" s="136"/>
      <c r="G5" s="137"/>
      <c r="H5" s="133"/>
      <c r="I5" s="136"/>
      <c r="J5" s="137"/>
      <c r="K5" s="133"/>
      <c r="L5" s="136"/>
      <c r="M5" s="137"/>
      <c r="N5" s="133"/>
    </row>
    <row r="6" spans="1:14" ht="23.25" customHeight="1" x14ac:dyDescent="0.25">
      <c r="A6" s="147"/>
      <c r="B6" s="151"/>
      <c r="C6" s="32" t="s">
        <v>96</v>
      </c>
      <c r="D6" s="32" t="s">
        <v>80</v>
      </c>
      <c r="E6" s="32" t="s">
        <v>49</v>
      </c>
      <c r="F6" s="32" t="s">
        <v>88</v>
      </c>
      <c r="G6" s="32" t="s">
        <v>80</v>
      </c>
      <c r="H6" s="32" t="s">
        <v>49</v>
      </c>
      <c r="I6" s="32" t="s">
        <v>88</v>
      </c>
      <c r="J6" s="32" t="s">
        <v>80</v>
      </c>
      <c r="K6" s="32" t="s">
        <v>49</v>
      </c>
      <c r="L6" s="32" t="s">
        <v>88</v>
      </c>
      <c r="M6" s="32" t="s">
        <v>80</v>
      </c>
      <c r="N6" s="32" t="s">
        <v>49</v>
      </c>
    </row>
    <row r="7" spans="1:14" ht="15.75" x14ac:dyDescent="0.25">
      <c r="A7" s="159" t="s">
        <v>7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1"/>
    </row>
    <row r="8" spans="1:14" ht="15.95" customHeight="1" x14ac:dyDescent="0.25">
      <c r="A8" s="14" t="s">
        <v>8</v>
      </c>
      <c r="B8" s="17" t="s">
        <v>9</v>
      </c>
      <c r="C8" s="77">
        <v>95175</v>
      </c>
      <c r="D8" s="77">
        <v>61800</v>
      </c>
      <c r="E8" s="77">
        <f t="shared" ref="E8:E14" si="0">C8-D8</f>
        <v>33375</v>
      </c>
      <c r="F8" s="77">
        <v>20115</v>
      </c>
      <c r="G8" s="77">
        <v>13763</v>
      </c>
      <c r="H8" s="87">
        <f t="shared" ref="H8:H13" si="1">F8-G8</f>
        <v>6352</v>
      </c>
      <c r="I8" s="15">
        <f>67998+7062</f>
        <v>75060</v>
      </c>
      <c r="J8" s="15">
        <f>41215+6822</f>
        <v>48037</v>
      </c>
      <c r="K8" s="15">
        <f>I8-J8</f>
        <v>27023</v>
      </c>
      <c r="L8" s="15" t="s">
        <v>11</v>
      </c>
      <c r="M8" s="15" t="s">
        <v>11</v>
      </c>
      <c r="N8" s="15" t="s">
        <v>11</v>
      </c>
    </row>
    <row r="9" spans="1:14" ht="15.95" customHeight="1" x14ac:dyDescent="0.25">
      <c r="A9" s="14" t="s">
        <v>12</v>
      </c>
      <c r="B9" s="17" t="s">
        <v>13</v>
      </c>
      <c r="C9" s="77">
        <v>69565</v>
      </c>
      <c r="D9" s="77">
        <v>47563</v>
      </c>
      <c r="E9" s="77">
        <f t="shared" si="0"/>
        <v>22002</v>
      </c>
      <c r="F9" s="77">
        <v>18650</v>
      </c>
      <c r="G9" s="77">
        <v>8367</v>
      </c>
      <c r="H9" s="87">
        <f t="shared" si="1"/>
        <v>10283</v>
      </c>
      <c r="I9" s="15">
        <v>3986</v>
      </c>
      <c r="J9" s="15">
        <v>3881</v>
      </c>
      <c r="K9" s="15">
        <f>I9-J9</f>
        <v>105</v>
      </c>
      <c r="L9" s="15">
        <v>46929</v>
      </c>
      <c r="M9" s="15">
        <v>35315</v>
      </c>
      <c r="N9" s="15">
        <f>L9-M9</f>
        <v>11614</v>
      </c>
    </row>
    <row r="10" spans="1:14" ht="15.95" customHeight="1" x14ac:dyDescent="0.25">
      <c r="A10" s="14" t="s">
        <v>14</v>
      </c>
      <c r="B10" s="17" t="s">
        <v>15</v>
      </c>
      <c r="C10" s="77">
        <v>64209</v>
      </c>
      <c r="D10" s="77">
        <v>51907</v>
      </c>
      <c r="E10" s="77">
        <f t="shared" si="0"/>
        <v>12302</v>
      </c>
      <c r="F10" s="77">
        <v>40884</v>
      </c>
      <c r="G10" s="77">
        <v>35310</v>
      </c>
      <c r="H10" s="87">
        <f t="shared" si="1"/>
        <v>5574</v>
      </c>
      <c r="I10" s="15">
        <v>2253</v>
      </c>
      <c r="J10" s="15">
        <v>1882</v>
      </c>
      <c r="K10" s="15">
        <f>I10-J10</f>
        <v>371</v>
      </c>
      <c r="L10" s="15">
        <v>21072</v>
      </c>
      <c r="M10" s="15">
        <v>14715</v>
      </c>
      <c r="N10" s="15">
        <f>L10-M10</f>
        <v>6357</v>
      </c>
    </row>
    <row r="11" spans="1:14" ht="15.95" customHeight="1" x14ac:dyDescent="0.25">
      <c r="A11" s="14" t="s">
        <v>16</v>
      </c>
      <c r="B11" s="17" t="s">
        <v>17</v>
      </c>
      <c r="C11" s="77">
        <v>2056</v>
      </c>
      <c r="D11" s="77">
        <v>1346</v>
      </c>
      <c r="E11" s="77">
        <f t="shared" si="0"/>
        <v>710</v>
      </c>
      <c r="F11" s="77">
        <v>1027</v>
      </c>
      <c r="G11" s="77">
        <v>638</v>
      </c>
      <c r="H11" s="87">
        <f t="shared" si="1"/>
        <v>389</v>
      </c>
      <c r="I11" s="15">
        <v>1029</v>
      </c>
      <c r="J11" s="15">
        <v>708</v>
      </c>
      <c r="K11" s="15">
        <f>I11-J11</f>
        <v>321</v>
      </c>
      <c r="L11" s="15" t="s">
        <v>11</v>
      </c>
      <c r="M11" s="15" t="s">
        <v>11</v>
      </c>
      <c r="N11" s="15" t="s">
        <v>11</v>
      </c>
    </row>
    <row r="12" spans="1:14" ht="15.95" customHeight="1" x14ac:dyDescent="0.25">
      <c r="A12" s="14" t="s">
        <v>18</v>
      </c>
      <c r="B12" s="17" t="s">
        <v>19</v>
      </c>
      <c r="C12" s="77">
        <v>18787</v>
      </c>
      <c r="D12" s="77">
        <v>13485</v>
      </c>
      <c r="E12" s="77">
        <f t="shared" si="0"/>
        <v>5302</v>
      </c>
      <c r="F12" s="77">
        <v>18787</v>
      </c>
      <c r="G12" s="77">
        <v>13485</v>
      </c>
      <c r="H12" s="87">
        <f t="shared" si="1"/>
        <v>5302</v>
      </c>
      <c r="I12" s="15" t="s">
        <v>11</v>
      </c>
      <c r="J12" s="15" t="s">
        <v>11</v>
      </c>
      <c r="K12" s="15" t="s">
        <v>11</v>
      </c>
      <c r="L12" s="15" t="s">
        <v>11</v>
      </c>
      <c r="M12" s="15" t="s">
        <v>11</v>
      </c>
      <c r="N12" s="15" t="s">
        <v>11</v>
      </c>
    </row>
    <row r="13" spans="1:14" ht="15.95" customHeight="1" x14ac:dyDescent="0.25">
      <c r="A13" s="14" t="s">
        <v>20</v>
      </c>
      <c r="B13" s="17" t="s">
        <v>21</v>
      </c>
      <c r="C13" s="77">
        <v>14606</v>
      </c>
      <c r="D13" s="77">
        <v>10050</v>
      </c>
      <c r="E13" s="77">
        <f t="shared" si="0"/>
        <v>4556</v>
      </c>
      <c r="F13" s="77">
        <v>6561</v>
      </c>
      <c r="G13" s="77">
        <v>4099</v>
      </c>
      <c r="H13" s="87">
        <f t="shared" si="1"/>
        <v>2462</v>
      </c>
      <c r="I13" s="15">
        <v>153</v>
      </c>
      <c r="J13" s="15">
        <v>26</v>
      </c>
      <c r="K13" s="15">
        <f>I13-J13</f>
        <v>127</v>
      </c>
      <c r="L13" s="15">
        <v>7892</v>
      </c>
      <c r="M13" s="15">
        <v>5925</v>
      </c>
      <c r="N13" s="15">
        <f>L13-M13</f>
        <v>1967</v>
      </c>
    </row>
    <row r="14" spans="1:14" ht="15.95" customHeight="1" x14ac:dyDescent="0.25">
      <c r="A14" s="14" t="s">
        <v>22</v>
      </c>
      <c r="B14" s="17" t="s">
        <v>23</v>
      </c>
      <c r="C14" s="77">
        <v>59712</v>
      </c>
      <c r="D14" s="77">
        <v>38638</v>
      </c>
      <c r="E14" s="77">
        <f t="shared" si="0"/>
        <v>21074</v>
      </c>
      <c r="F14" s="77">
        <v>11947</v>
      </c>
      <c r="G14" s="77">
        <v>0</v>
      </c>
      <c r="H14" s="87">
        <f>F14-G14</f>
        <v>11947</v>
      </c>
      <c r="I14" s="15" t="s">
        <v>11</v>
      </c>
      <c r="J14" s="15" t="s">
        <v>11</v>
      </c>
      <c r="K14" s="15" t="s">
        <v>11</v>
      </c>
      <c r="L14" s="15">
        <v>47765</v>
      </c>
      <c r="M14" s="15">
        <v>38638</v>
      </c>
      <c r="N14" s="15">
        <f>L14-M14</f>
        <v>9127</v>
      </c>
    </row>
    <row r="15" spans="1:14" ht="15.95" customHeight="1" x14ac:dyDescent="0.25">
      <c r="A15" s="114" t="s">
        <v>30</v>
      </c>
      <c r="B15" s="115"/>
      <c r="C15" s="19">
        <f t="shared" ref="C15:N15" si="2">SUM(C8:C14)</f>
        <v>324110</v>
      </c>
      <c r="D15" s="19">
        <f t="shared" si="2"/>
        <v>224789</v>
      </c>
      <c r="E15" s="19">
        <f t="shared" si="2"/>
        <v>99321</v>
      </c>
      <c r="F15" s="19">
        <f t="shared" si="2"/>
        <v>117971</v>
      </c>
      <c r="G15" s="19">
        <f t="shared" si="2"/>
        <v>75662</v>
      </c>
      <c r="H15" s="52">
        <f t="shared" si="2"/>
        <v>42309</v>
      </c>
      <c r="I15" s="51">
        <f t="shared" si="2"/>
        <v>82481</v>
      </c>
      <c r="J15" s="51">
        <f t="shared" si="2"/>
        <v>54534</v>
      </c>
      <c r="K15" s="51">
        <f t="shared" si="2"/>
        <v>27947</v>
      </c>
      <c r="L15" s="51">
        <f t="shared" si="2"/>
        <v>123658</v>
      </c>
      <c r="M15" s="51">
        <f t="shared" si="2"/>
        <v>94593</v>
      </c>
      <c r="N15" s="51">
        <f t="shared" si="2"/>
        <v>29065</v>
      </c>
    </row>
    <row r="16" spans="1:14" ht="15.95" customHeight="1" x14ac:dyDescent="0.25">
      <c r="A16" s="162" t="s">
        <v>32</v>
      </c>
      <c r="B16" s="162"/>
      <c r="C16" s="19">
        <f>C15/105</f>
        <v>3086.7619047619046</v>
      </c>
      <c r="D16" s="19">
        <f>D15/105</f>
        <v>2140.847619047619</v>
      </c>
      <c r="E16" s="19">
        <f>E15/105</f>
        <v>945.91428571428571</v>
      </c>
      <c r="F16" s="19">
        <f>F15/7</f>
        <v>16853</v>
      </c>
      <c r="G16" s="19">
        <f t="shared" ref="G16:H16" si="3">G15/7</f>
        <v>10808.857142857143</v>
      </c>
      <c r="H16" s="19">
        <f t="shared" si="3"/>
        <v>6044.1428571428569</v>
      </c>
      <c r="I16" s="19">
        <f>I15/16</f>
        <v>5155.0625</v>
      </c>
      <c r="J16" s="19">
        <f>J15/16</f>
        <v>3408.375</v>
      </c>
      <c r="K16" s="19">
        <f>K15/16</f>
        <v>1746.6875</v>
      </c>
      <c r="L16" s="19">
        <f>L15/74</f>
        <v>1671.0540540540539</v>
      </c>
      <c r="M16" s="19">
        <f>M15/74</f>
        <v>1278.2837837837837</v>
      </c>
      <c r="N16" s="19">
        <f>N15/74</f>
        <v>392.77027027027026</v>
      </c>
    </row>
    <row r="17" spans="1:14" ht="15.95" customHeight="1" x14ac:dyDescent="0.25">
      <c r="A17" s="159" t="s">
        <v>24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1"/>
    </row>
    <row r="18" spans="1:14" ht="15.95" customHeight="1" x14ac:dyDescent="0.25">
      <c r="A18" s="14" t="s">
        <v>8</v>
      </c>
      <c r="B18" s="17" t="s">
        <v>25</v>
      </c>
      <c r="C18" s="77">
        <v>31919</v>
      </c>
      <c r="D18" s="77">
        <v>24375</v>
      </c>
      <c r="E18" s="77">
        <f>C18-D18</f>
        <v>7544</v>
      </c>
      <c r="F18" s="77">
        <v>9896</v>
      </c>
      <c r="G18" s="77">
        <v>5336</v>
      </c>
      <c r="H18" s="87">
        <f>F18-G18</f>
        <v>4560</v>
      </c>
      <c r="I18" s="15">
        <v>1698</v>
      </c>
      <c r="J18" s="15">
        <v>1546</v>
      </c>
      <c r="K18" s="15">
        <f>I18-J18</f>
        <v>152</v>
      </c>
      <c r="L18" s="15">
        <v>20325</v>
      </c>
      <c r="M18" s="15">
        <v>17493</v>
      </c>
      <c r="N18" s="15">
        <f>L18-M18</f>
        <v>2832</v>
      </c>
    </row>
    <row r="19" spans="1:14" ht="15.95" customHeight="1" x14ac:dyDescent="0.25">
      <c r="A19" s="14" t="s">
        <v>12</v>
      </c>
      <c r="B19" s="17" t="s">
        <v>26</v>
      </c>
      <c r="C19" s="77">
        <v>9990</v>
      </c>
      <c r="D19" s="77">
        <v>7502</v>
      </c>
      <c r="E19" s="77">
        <f>C19-D19</f>
        <v>2488</v>
      </c>
      <c r="F19" s="77">
        <v>7109</v>
      </c>
      <c r="G19" s="77">
        <v>4882</v>
      </c>
      <c r="H19" s="87">
        <f>F19-G19</f>
        <v>2227</v>
      </c>
      <c r="I19" s="15" t="s">
        <v>11</v>
      </c>
      <c r="J19" s="15" t="s">
        <v>11</v>
      </c>
      <c r="K19" s="15" t="s">
        <v>11</v>
      </c>
      <c r="L19" s="15">
        <v>2881</v>
      </c>
      <c r="M19" s="15">
        <v>2620</v>
      </c>
      <c r="N19" s="15">
        <f>L19-M19</f>
        <v>261</v>
      </c>
    </row>
    <row r="20" spans="1:14" ht="15.95" customHeight="1" x14ac:dyDescent="0.25">
      <c r="A20" s="14" t="s">
        <v>14</v>
      </c>
      <c r="B20" s="17" t="s">
        <v>27</v>
      </c>
      <c r="C20" s="77">
        <v>28716</v>
      </c>
      <c r="D20" s="77">
        <v>19883</v>
      </c>
      <c r="E20" s="77">
        <f>C20-D20</f>
        <v>8833</v>
      </c>
      <c r="F20" s="77">
        <v>14141</v>
      </c>
      <c r="G20" s="77">
        <v>8753</v>
      </c>
      <c r="H20" s="87">
        <f>F20-G20</f>
        <v>5388</v>
      </c>
      <c r="I20" s="15" t="s">
        <v>11</v>
      </c>
      <c r="J20" s="15" t="s">
        <v>11</v>
      </c>
      <c r="K20" s="15" t="s">
        <v>11</v>
      </c>
      <c r="L20" s="15">
        <v>14575</v>
      </c>
      <c r="M20" s="15">
        <v>11130</v>
      </c>
      <c r="N20" s="15">
        <f>L20-M20</f>
        <v>3445</v>
      </c>
    </row>
    <row r="21" spans="1:14" ht="15.95" customHeight="1" x14ac:dyDescent="0.25">
      <c r="A21" s="14" t="s">
        <v>16</v>
      </c>
      <c r="B21" s="17" t="s">
        <v>28</v>
      </c>
      <c r="C21" s="77">
        <v>54835</v>
      </c>
      <c r="D21" s="77">
        <v>31684</v>
      </c>
      <c r="E21" s="77">
        <f>C21-D21</f>
        <v>23151</v>
      </c>
      <c r="F21" s="77">
        <v>13163</v>
      </c>
      <c r="G21" s="77">
        <v>9169</v>
      </c>
      <c r="H21" s="87">
        <f>F21-G21</f>
        <v>3994</v>
      </c>
      <c r="I21" s="15">
        <v>5782</v>
      </c>
      <c r="J21" s="15">
        <v>3003</v>
      </c>
      <c r="K21" s="15">
        <f>I21-J21</f>
        <v>2779</v>
      </c>
      <c r="L21" s="15">
        <v>35890</v>
      </c>
      <c r="M21" s="15">
        <v>19512</v>
      </c>
      <c r="N21" s="15">
        <f>L21-M21</f>
        <v>16378</v>
      </c>
    </row>
    <row r="22" spans="1:14" ht="15.95" customHeight="1" x14ac:dyDescent="0.25">
      <c r="A22" s="114" t="s">
        <v>30</v>
      </c>
      <c r="B22" s="115"/>
      <c r="C22" s="19">
        <f t="shared" ref="C22:N22" si="4">SUM(C18:C21)</f>
        <v>125460</v>
      </c>
      <c r="D22" s="19">
        <f t="shared" si="4"/>
        <v>83444</v>
      </c>
      <c r="E22" s="19">
        <f t="shared" si="4"/>
        <v>42016</v>
      </c>
      <c r="F22" s="19">
        <f t="shared" si="4"/>
        <v>44309</v>
      </c>
      <c r="G22" s="19">
        <f t="shared" si="4"/>
        <v>28140</v>
      </c>
      <c r="H22" s="52">
        <f t="shared" si="4"/>
        <v>16169</v>
      </c>
      <c r="I22" s="51">
        <f t="shared" si="4"/>
        <v>7480</v>
      </c>
      <c r="J22" s="51">
        <f t="shared" si="4"/>
        <v>4549</v>
      </c>
      <c r="K22" s="51">
        <f t="shared" si="4"/>
        <v>2931</v>
      </c>
      <c r="L22" s="51">
        <f t="shared" si="4"/>
        <v>73671</v>
      </c>
      <c r="M22" s="51">
        <f t="shared" si="4"/>
        <v>50755</v>
      </c>
      <c r="N22" s="51">
        <f t="shared" si="4"/>
        <v>22916</v>
      </c>
    </row>
    <row r="23" spans="1:14" ht="15.95" customHeight="1" x14ac:dyDescent="0.25">
      <c r="A23" s="162" t="s">
        <v>32</v>
      </c>
      <c r="B23" s="162"/>
      <c r="C23" s="19">
        <f>C22/87</f>
        <v>1442.0689655172414</v>
      </c>
      <c r="D23" s="19">
        <f>D22/87</f>
        <v>959.12643678160919</v>
      </c>
      <c r="E23" s="19">
        <f>E22/87</f>
        <v>482.94252873563221</v>
      </c>
      <c r="F23" s="19">
        <f t="shared" ref="F23:H23" si="5">F22/4</f>
        <v>11077.25</v>
      </c>
      <c r="G23" s="19">
        <f t="shared" si="5"/>
        <v>7035</v>
      </c>
      <c r="H23" s="52">
        <f t="shared" si="5"/>
        <v>4042.25</v>
      </c>
      <c r="I23" s="19">
        <f>I22/3</f>
        <v>2493.3333333333335</v>
      </c>
      <c r="J23" s="19">
        <f>J22/3</f>
        <v>1516.3333333333333</v>
      </c>
      <c r="K23" s="19">
        <f>K22/3</f>
        <v>977</v>
      </c>
      <c r="L23" s="19">
        <f>L22/78</f>
        <v>944.5</v>
      </c>
      <c r="M23" s="19">
        <f>M22/78</f>
        <v>650.70512820512818</v>
      </c>
      <c r="N23" s="19">
        <f>N22/78</f>
        <v>293.79487179487177</v>
      </c>
    </row>
    <row r="24" spans="1:14" ht="29.25" customHeight="1" x14ac:dyDescent="0.25">
      <c r="A24" s="110" t="s">
        <v>29</v>
      </c>
      <c r="B24" s="111"/>
      <c r="C24" s="48">
        <f t="shared" ref="C24:N24" si="6">SUM(C15,C22)</f>
        <v>449570</v>
      </c>
      <c r="D24" s="48">
        <f t="shared" si="6"/>
        <v>308233</v>
      </c>
      <c r="E24" s="48">
        <f t="shared" si="6"/>
        <v>141337</v>
      </c>
      <c r="F24" s="48">
        <f t="shared" si="6"/>
        <v>162280</v>
      </c>
      <c r="G24" s="48">
        <f t="shared" si="6"/>
        <v>103802</v>
      </c>
      <c r="H24" s="55">
        <f t="shared" si="6"/>
        <v>58478</v>
      </c>
      <c r="I24" s="47">
        <f t="shared" si="6"/>
        <v>89961</v>
      </c>
      <c r="J24" s="47">
        <f t="shared" si="6"/>
        <v>59083</v>
      </c>
      <c r="K24" s="47">
        <f t="shared" si="6"/>
        <v>30878</v>
      </c>
      <c r="L24" s="47">
        <f t="shared" si="6"/>
        <v>197329</v>
      </c>
      <c r="M24" s="47">
        <f t="shared" si="6"/>
        <v>145348</v>
      </c>
      <c r="N24" s="47">
        <f t="shared" si="6"/>
        <v>51981</v>
      </c>
    </row>
    <row r="25" spans="1:14" ht="30.75" customHeight="1" x14ac:dyDescent="0.25">
      <c r="A25" s="110" t="s">
        <v>31</v>
      </c>
      <c r="B25" s="111"/>
      <c r="C25" s="48">
        <f>C24/192</f>
        <v>2341.5104166666665</v>
      </c>
      <c r="D25" s="48">
        <f>D24/192</f>
        <v>1605.3802083333333</v>
      </c>
      <c r="E25" s="48">
        <f>E24/192</f>
        <v>736.13020833333337</v>
      </c>
      <c r="F25" s="48">
        <f t="shared" ref="F25:H25" si="7">F24/11</f>
        <v>14752.727272727272</v>
      </c>
      <c r="G25" s="48">
        <f t="shared" si="7"/>
        <v>9436.545454545454</v>
      </c>
      <c r="H25" s="48">
        <f t="shared" si="7"/>
        <v>5316.181818181818</v>
      </c>
      <c r="I25" s="48">
        <f>I24/19</f>
        <v>4734.7894736842109</v>
      </c>
      <c r="J25" s="55">
        <f>J24/19</f>
        <v>3109.6315789473683</v>
      </c>
      <c r="K25" s="48">
        <f>K24/19</f>
        <v>1625.1578947368421</v>
      </c>
      <c r="L25" s="48">
        <f>L24/152</f>
        <v>1298.2171052631579</v>
      </c>
      <c r="M25" s="48">
        <f>M24/152</f>
        <v>956.23684210526312</v>
      </c>
      <c r="N25" s="48">
        <f>N24/152</f>
        <v>341.98026315789474</v>
      </c>
    </row>
  </sheetData>
  <mergeCells count="15">
    <mergeCell ref="A25:B25"/>
    <mergeCell ref="A17:N17"/>
    <mergeCell ref="A7:N7"/>
    <mergeCell ref="A2:N2"/>
    <mergeCell ref="A15:B15"/>
    <mergeCell ref="A22:B22"/>
    <mergeCell ref="A24:B24"/>
    <mergeCell ref="L4:N5"/>
    <mergeCell ref="A4:A6"/>
    <mergeCell ref="B4:B6"/>
    <mergeCell ref="C4:E5"/>
    <mergeCell ref="F4:H5"/>
    <mergeCell ref="I4:K5"/>
    <mergeCell ref="A16:B16"/>
    <mergeCell ref="A23:B23"/>
  </mergeCells>
  <pageMargins left="0.70000000000000007" right="0.70000000000000007" top="0.75" bottom="0.75" header="0.30000000000000004" footer="0.3000000000000000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2:N37"/>
  <sheetViews>
    <sheetView workbookViewId="0">
      <selection activeCell="N24" sqref="N24"/>
    </sheetView>
  </sheetViews>
  <sheetFormatPr defaultRowHeight="15" x14ac:dyDescent="0.25"/>
  <cols>
    <col min="1" max="1" width="5" customWidth="1"/>
    <col min="2" max="2" width="28" customWidth="1"/>
    <col min="3" max="3" width="10.5703125" customWidth="1"/>
    <col min="5" max="5" width="9.85546875" customWidth="1"/>
    <col min="8" max="8" width="10" customWidth="1"/>
    <col min="11" max="11" width="10" customWidth="1"/>
    <col min="14" max="14" width="10.140625" customWidth="1"/>
  </cols>
  <sheetData>
    <row r="2" spans="1:14" ht="15.75" x14ac:dyDescent="0.25">
      <c r="A2" s="143" t="s">
        <v>97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</row>
    <row r="3" spans="1:14" ht="15.75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24" customHeight="1" x14ac:dyDescent="0.25">
      <c r="A4" s="103" t="s">
        <v>0</v>
      </c>
      <c r="B4" s="145" t="s">
        <v>1</v>
      </c>
      <c r="C4" s="130" t="s">
        <v>47</v>
      </c>
      <c r="D4" s="144"/>
      <c r="E4" s="131"/>
      <c r="F4" s="130" t="s">
        <v>3</v>
      </c>
      <c r="G4" s="144"/>
      <c r="H4" s="131"/>
      <c r="I4" s="130" t="s">
        <v>45</v>
      </c>
      <c r="J4" s="144"/>
      <c r="K4" s="131"/>
      <c r="L4" s="130" t="s">
        <v>46</v>
      </c>
      <c r="M4" s="144"/>
      <c r="N4" s="131"/>
    </row>
    <row r="5" spans="1:14" ht="26.25" customHeight="1" x14ac:dyDescent="0.25">
      <c r="A5" s="147"/>
      <c r="B5" s="151"/>
      <c r="C5" s="66" t="s">
        <v>96</v>
      </c>
      <c r="D5" s="66" t="s">
        <v>80</v>
      </c>
      <c r="E5" s="33" t="s">
        <v>49</v>
      </c>
      <c r="F5" s="33" t="s">
        <v>88</v>
      </c>
      <c r="G5" s="33" t="s">
        <v>80</v>
      </c>
      <c r="H5" s="33" t="s">
        <v>49</v>
      </c>
      <c r="I5" s="33" t="s">
        <v>88</v>
      </c>
      <c r="J5" s="33" t="s">
        <v>80</v>
      </c>
      <c r="K5" s="33" t="s">
        <v>49</v>
      </c>
      <c r="L5" s="33" t="s">
        <v>88</v>
      </c>
      <c r="M5" s="33" t="s">
        <v>80</v>
      </c>
      <c r="N5" s="33" t="s">
        <v>49</v>
      </c>
    </row>
    <row r="6" spans="1:14" ht="15.95" customHeight="1" x14ac:dyDescent="0.25">
      <c r="A6" s="27" t="s">
        <v>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9"/>
    </row>
    <row r="7" spans="1:14" ht="15.95" customHeight="1" x14ac:dyDescent="0.25">
      <c r="A7" s="14" t="s">
        <v>8</v>
      </c>
      <c r="B7" s="17" t="s">
        <v>9</v>
      </c>
      <c r="C7" s="77">
        <v>540988</v>
      </c>
      <c r="D7" s="77">
        <v>501199</v>
      </c>
      <c r="E7" s="77">
        <f t="shared" ref="E7:E13" si="0">C7-D7</f>
        <v>39789</v>
      </c>
      <c r="F7" s="77">
        <v>169375</v>
      </c>
      <c r="G7" s="77">
        <v>164112</v>
      </c>
      <c r="H7" s="87">
        <f t="shared" ref="H7:H13" si="1">F7-G7</f>
        <v>5263</v>
      </c>
      <c r="I7" s="15">
        <f>349849+21764</f>
        <v>371613</v>
      </c>
      <c r="J7" s="15">
        <f>316040+21047</f>
        <v>337087</v>
      </c>
      <c r="K7" s="91">
        <f>I7-J7</f>
        <v>34526</v>
      </c>
      <c r="L7" s="15" t="s">
        <v>11</v>
      </c>
      <c r="M7" s="15" t="s">
        <v>11</v>
      </c>
      <c r="N7" s="91" t="s">
        <v>11</v>
      </c>
    </row>
    <row r="8" spans="1:14" ht="15.95" customHeight="1" x14ac:dyDescent="0.25">
      <c r="A8" s="14" t="s">
        <v>12</v>
      </c>
      <c r="B8" s="17" t="s">
        <v>13</v>
      </c>
      <c r="C8" s="77">
        <v>211377</v>
      </c>
      <c r="D8" s="77">
        <v>198271</v>
      </c>
      <c r="E8" s="77">
        <f t="shared" si="0"/>
        <v>13106</v>
      </c>
      <c r="F8" s="77">
        <v>31417</v>
      </c>
      <c r="G8" s="77">
        <v>28614</v>
      </c>
      <c r="H8" s="87">
        <f t="shared" si="1"/>
        <v>2803</v>
      </c>
      <c r="I8" s="15">
        <v>15967</v>
      </c>
      <c r="J8" s="15">
        <v>17306</v>
      </c>
      <c r="K8" s="91">
        <f>I8-J8</f>
        <v>-1339</v>
      </c>
      <c r="L8" s="15">
        <v>163993</v>
      </c>
      <c r="M8" s="15">
        <v>152351</v>
      </c>
      <c r="N8" s="91">
        <f>L8-M8</f>
        <v>11642</v>
      </c>
    </row>
    <row r="9" spans="1:14" ht="15.95" customHeight="1" x14ac:dyDescent="0.25">
      <c r="A9" s="14" t="s">
        <v>14</v>
      </c>
      <c r="B9" s="17" t="s">
        <v>15</v>
      </c>
      <c r="C9" s="77">
        <v>143169</v>
      </c>
      <c r="D9" s="77">
        <v>149164</v>
      </c>
      <c r="E9" s="77">
        <f t="shared" si="0"/>
        <v>-5995</v>
      </c>
      <c r="F9" s="77">
        <v>48357</v>
      </c>
      <c r="G9" s="77">
        <v>43708</v>
      </c>
      <c r="H9" s="87">
        <f t="shared" si="1"/>
        <v>4649</v>
      </c>
      <c r="I9" s="15">
        <v>16568</v>
      </c>
      <c r="J9" s="15">
        <v>18198</v>
      </c>
      <c r="K9" s="91">
        <f>I9-J9</f>
        <v>-1630</v>
      </c>
      <c r="L9" s="15">
        <v>78244</v>
      </c>
      <c r="M9" s="15">
        <v>87258</v>
      </c>
      <c r="N9" s="91">
        <f>L9-M9</f>
        <v>-9014</v>
      </c>
    </row>
    <row r="10" spans="1:14" ht="15.95" customHeight="1" x14ac:dyDescent="0.25">
      <c r="A10" s="14" t="s">
        <v>16</v>
      </c>
      <c r="B10" s="17" t="s">
        <v>17</v>
      </c>
      <c r="C10" s="77">
        <v>19748</v>
      </c>
      <c r="D10" s="77">
        <v>18862</v>
      </c>
      <c r="E10" s="77">
        <f t="shared" si="0"/>
        <v>886</v>
      </c>
      <c r="F10" s="77">
        <v>7386</v>
      </c>
      <c r="G10" s="77">
        <v>7348</v>
      </c>
      <c r="H10" s="87">
        <f t="shared" si="1"/>
        <v>38</v>
      </c>
      <c r="I10" s="15">
        <v>12362</v>
      </c>
      <c r="J10" s="15">
        <v>11514</v>
      </c>
      <c r="K10" s="91">
        <f>I10-J10</f>
        <v>848</v>
      </c>
      <c r="L10" s="15" t="s">
        <v>11</v>
      </c>
      <c r="M10" s="15" t="s">
        <v>11</v>
      </c>
      <c r="N10" s="91" t="s">
        <v>11</v>
      </c>
    </row>
    <row r="11" spans="1:14" ht="15.95" customHeight="1" x14ac:dyDescent="0.25">
      <c r="A11" s="14" t="s">
        <v>18</v>
      </c>
      <c r="B11" s="17" t="s">
        <v>19</v>
      </c>
      <c r="C11" s="77">
        <v>124450</v>
      </c>
      <c r="D11" s="77">
        <v>82110</v>
      </c>
      <c r="E11" s="77">
        <f t="shared" si="0"/>
        <v>42340</v>
      </c>
      <c r="F11" s="77">
        <v>124450</v>
      </c>
      <c r="G11" s="77">
        <v>82110</v>
      </c>
      <c r="H11" s="87">
        <f t="shared" si="1"/>
        <v>42340</v>
      </c>
      <c r="I11" s="15" t="s">
        <v>11</v>
      </c>
      <c r="J11" s="15" t="s">
        <v>11</v>
      </c>
      <c r="K11" s="91" t="s">
        <v>11</v>
      </c>
      <c r="L11" s="15" t="s">
        <v>11</v>
      </c>
      <c r="M11" s="15" t="s">
        <v>11</v>
      </c>
      <c r="N11" s="91" t="s">
        <v>11</v>
      </c>
    </row>
    <row r="12" spans="1:14" ht="15.95" customHeight="1" x14ac:dyDescent="0.25">
      <c r="A12" s="14" t="s">
        <v>20</v>
      </c>
      <c r="B12" s="17" t="s">
        <v>21</v>
      </c>
      <c r="C12" s="77">
        <v>105581</v>
      </c>
      <c r="D12" s="77">
        <v>104889</v>
      </c>
      <c r="E12" s="77">
        <f t="shared" si="0"/>
        <v>692</v>
      </c>
      <c r="F12" s="77">
        <v>30647</v>
      </c>
      <c r="G12" s="77">
        <v>33800</v>
      </c>
      <c r="H12" s="87">
        <f t="shared" si="1"/>
        <v>-3153</v>
      </c>
      <c r="I12" s="15">
        <v>6269</v>
      </c>
      <c r="J12" s="15">
        <v>4174</v>
      </c>
      <c r="K12" s="91">
        <f>I12-J12</f>
        <v>2095</v>
      </c>
      <c r="L12" s="15">
        <v>68665</v>
      </c>
      <c r="M12" s="15">
        <v>66915</v>
      </c>
      <c r="N12" s="91">
        <f>L12-M12</f>
        <v>1750</v>
      </c>
    </row>
    <row r="13" spans="1:14" ht="15.95" customHeight="1" x14ac:dyDescent="0.25">
      <c r="A13" s="14" t="s">
        <v>22</v>
      </c>
      <c r="B13" s="17" t="s">
        <v>23</v>
      </c>
      <c r="C13" s="77">
        <v>154130</v>
      </c>
      <c r="D13" s="77">
        <v>147467</v>
      </c>
      <c r="E13" s="77">
        <f t="shared" si="0"/>
        <v>6663</v>
      </c>
      <c r="F13" s="77">
        <v>39870</v>
      </c>
      <c r="G13" s="77">
        <v>34717</v>
      </c>
      <c r="H13" s="87">
        <f t="shared" si="1"/>
        <v>5153</v>
      </c>
      <c r="I13" s="15" t="s">
        <v>11</v>
      </c>
      <c r="J13" s="15" t="s">
        <v>11</v>
      </c>
      <c r="K13" s="91" t="s">
        <v>11</v>
      </c>
      <c r="L13" s="15">
        <v>114260</v>
      </c>
      <c r="M13" s="15">
        <v>112750</v>
      </c>
      <c r="N13" s="91">
        <f>L13-M13</f>
        <v>1510</v>
      </c>
    </row>
    <row r="14" spans="1:14" ht="15.95" customHeight="1" x14ac:dyDescent="0.25">
      <c r="A14" s="164" t="s">
        <v>30</v>
      </c>
      <c r="B14" s="164"/>
      <c r="C14" s="19">
        <f t="shared" ref="C14:N14" si="2">SUM(C7:C13)</f>
        <v>1299443</v>
      </c>
      <c r="D14" s="19">
        <f t="shared" si="2"/>
        <v>1201962</v>
      </c>
      <c r="E14" s="19">
        <f t="shared" si="2"/>
        <v>97481</v>
      </c>
      <c r="F14" s="19">
        <f t="shared" si="2"/>
        <v>451502</v>
      </c>
      <c r="G14" s="19">
        <f t="shared" si="2"/>
        <v>394409</v>
      </c>
      <c r="H14" s="19">
        <f t="shared" si="2"/>
        <v>57093</v>
      </c>
      <c r="I14" s="51">
        <f t="shared" si="2"/>
        <v>422779</v>
      </c>
      <c r="J14" s="51">
        <f t="shared" si="2"/>
        <v>388279</v>
      </c>
      <c r="K14" s="51">
        <f t="shared" si="2"/>
        <v>34500</v>
      </c>
      <c r="L14" s="51">
        <f t="shared" si="2"/>
        <v>425162</v>
      </c>
      <c r="M14" s="51">
        <f t="shared" si="2"/>
        <v>419274</v>
      </c>
      <c r="N14" s="51">
        <f t="shared" si="2"/>
        <v>5888</v>
      </c>
    </row>
    <row r="15" spans="1:14" s="34" customFormat="1" ht="15.95" customHeight="1" x14ac:dyDescent="0.25">
      <c r="A15" s="164" t="s">
        <v>32</v>
      </c>
      <c r="B15" s="164"/>
      <c r="C15" s="19">
        <f>C14/105</f>
        <v>12375.647619047619</v>
      </c>
      <c r="D15" s="19">
        <f>D14/105</f>
        <v>11447.257142857143</v>
      </c>
      <c r="E15" s="19">
        <f>E14/105</f>
        <v>928.39047619047619</v>
      </c>
      <c r="F15" s="19">
        <f t="shared" ref="F15:H15" si="3">F14/7</f>
        <v>64500.285714285717</v>
      </c>
      <c r="G15" s="19">
        <f t="shared" si="3"/>
        <v>56344.142857142855</v>
      </c>
      <c r="H15" s="19">
        <f t="shared" si="3"/>
        <v>8156.1428571428569</v>
      </c>
      <c r="I15" s="19">
        <f>I14/16</f>
        <v>26423.6875</v>
      </c>
      <c r="J15" s="19">
        <f>J14/16</f>
        <v>24267.4375</v>
      </c>
      <c r="K15" s="19">
        <f>K14/16</f>
        <v>2156.25</v>
      </c>
      <c r="L15" s="19">
        <f>L14/74</f>
        <v>5745.4324324324325</v>
      </c>
      <c r="M15" s="19">
        <f>M14/74</f>
        <v>5665.864864864865</v>
      </c>
      <c r="N15" s="19">
        <f>N14/74</f>
        <v>79.567567567567565</v>
      </c>
    </row>
    <row r="16" spans="1:14" ht="15.95" customHeight="1" x14ac:dyDescent="0.25">
      <c r="A16" s="163" t="s">
        <v>24</v>
      </c>
      <c r="B16" s="163"/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</row>
    <row r="17" spans="1:14" ht="15.95" customHeight="1" x14ac:dyDescent="0.25">
      <c r="A17" s="14" t="s">
        <v>8</v>
      </c>
      <c r="B17" s="17" t="s">
        <v>25</v>
      </c>
      <c r="C17" s="77">
        <v>114797</v>
      </c>
      <c r="D17" s="77">
        <v>123158</v>
      </c>
      <c r="E17" s="77">
        <f>C17-D17</f>
        <v>-8361</v>
      </c>
      <c r="F17" s="77">
        <v>29889</v>
      </c>
      <c r="G17" s="77">
        <v>28104</v>
      </c>
      <c r="H17" s="87">
        <f>F17-G17</f>
        <v>1785</v>
      </c>
      <c r="I17" s="15">
        <v>4216</v>
      </c>
      <c r="J17" s="15">
        <v>7864</v>
      </c>
      <c r="K17" s="91">
        <f>I17-J17</f>
        <v>-3648</v>
      </c>
      <c r="L17" s="15">
        <v>80692</v>
      </c>
      <c r="M17" s="15">
        <v>87190</v>
      </c>
      <c r="N17" s="91">
        <f>L17-M17</f>
        <v>-6498</v>
      </c>
    </row>
    <row r="18" spans="1:14" ht="15.95" customHeight="1" x14ac:dyDescent="0.25">
      <c r="A18" s="14" t="s">
        <v>12</v>
      </c>
      <c r="B18" s="17" t="s">
        <v>26</v>
      </c>
      <c r="C18" s="77">
        <v>32238</v>
      </c>
      <c r="D18" s="77">
        <v>26481</v>
      </c>
      <c r="E18" s="77">
        <f>C18-D18</f>
        <v>5757</v>
      </c>
      <c r="F18" s="77">
        <v>6458</v>
      </c>
      <c r="G18" s="77">
        <v>0</v>
      </c>
      <c r="H18" s="87">
        <f>F18-G18</f>
        <v>6458</v>
      </c>
      <c r="I18" s="15" t="s">
        <v>11</v>
      </c>
      <c r="J18" s="15" t="s">
        <v>11</v>
      </c>
      <c r="K18" s="91" t="s">
        <v>11</v>
      </c>
      <c r="L18" s="15">
        <v>25780</v>
      </c>
      <c r="M18" s="15">
        <v>26481</v>
      </c>
      <c r="N18" s="91">
        <f>L18-M18</f>
        <v>-701</v>
      </c>
    </row>
    <row r="19" spans="1:14" ht="15.95" customHeight="1" x14ac:dyDescent="0.25">
      <c r="A19" s="14" t="s">
        <v>14</v>
      </c>
      <c r="B19" s="17" t="s">
        <v>27</v>
      </c>
      <c r="C19" s="77">
        <v>100628</v>
      </c>
      <c r="D19" s="77">
        <v>94190</v>
      </c>
      <c r="E19" s="77">
        <f>C19-D19</f>
        <v>6438</v>
      </c>
      <c r="F19" s="77">
        <v>35735</v>
      </c>
      <c r="G19" s="77">
        <v>31633</v>
      </c>
      <c r="H19" s="87">
        <f>F19-G19</f>
        <v>4102</v>
      </c>
      <c r="I19" s="15" t="s">
        <v>11</v>
      </c>
      <c r="J19" s="15" t="s">
        <v>11</v>
      </c>
      <c r="K19" s="91" t="s">
        <v>11</v>
      </c>
      <c r="L19" s="15">
        <v>64893</v>
      </c>
      <c r="M19" s="15">
        <v>62557</v>
      </c>
      <c r="N19" s="91">
        <f>L19-M19</f>
        <v>2336</v>
      </c>
    </row>
    <row r="20" spans="1:14" ht="15.95" customHeight="1" x14ac:dyDescent="0.25">
      <c r="A20" s="14" t="s">
        <v>16</v>
      </c>
      <c r="B20" s="17" t="s">
        <v>28</v>
      </c>
      <c r="C20" s="77">
        <v>136995</v>
      </c>
      <c r="D20" s="77">
        <v>128797</v>
      </c>
      <c r="E20" s="77">
        <f>C20-D20</f>
        <v>8198</v>
      </c>
      <c r="F20" s="77">
        <v>57840</v>
      </c>
      <c r="G20" s="77">
        <v>51128</v>
      </c>
      <c r="H20" s="87">
        <f>F20-G20</f>
        <v>6712</v>
      </c>
      <c r="I20" s="15">
        <v>8181</v>
      </c>
      <c r="J20" s="15">
        <v>8280</v>
      </c>
      <c r="K20" s="91">
        <f>I20-J20</f>
        <v>-99</v>
      </c>
      <c r="L20" s="15">
        <v>70974</v>
      </c>
      <c r="M20" s="15">
        <v>69389</v>
      </c>
      <c r="N20" s="91">
        <f>L20-M20</f>
        <v>1585</v>
      </c>
    </row>
    <row r="21" spans="1:14" ht="15.95" customHeight="1" x14ac:dyDescent="0.25">
      <c r="A21" s="114" t="s">
        <v>30</v>
      </c>
      <c r="B21" s="115"/>
      <c r="C21" s="19">
        <f t="shared" ref="C21:N21" si="4">SUM(C17:C20)</f>
        <v>384658</v>
      </c>
      <c r="D21" s="19">
        <f t="shared" si="4"/>
        <v>372626</v>
      </c>
      <c r="E21" s="19">
        <f t="shared" si="4"/>
        <v>12032</v>
      </c>
      <c r="F21" s="19">
        <f t="shared" si="4"/>
        <v>129922</v>
      </c>
      <c r="G21" s="19">
        <f t="shared" si="4"/>
        <v>110865</v>
      </c>
      <c r="H21" s="52">
        <f t="shared" si="4"/>
        <v>19057</v>
      </c>
      <c r="I21" s="51">
        <f t="shared" si="4"/>
        <v>12397</v>
      </c>
      <c r="J21" s="51">
        <f t="shared" si="4"/>
        <v>16144</v>
      </c>
      <c r="K21" s="51">
        <f t="shared" si="4"/>
        <v>-3747</v>
      </c>
      <c r="L21" s="51">
        <f t="shared" si="4"/>
        <v>242339</v>
      </c>
      <c r="M21" s="51">
        <f t="shared" si="4"/>
        <v>245617</v>
      </c>
      <c r="N21" s="51">
        <f t="shared" si="4"/>
        <v>-3278</v>
      </c>
    </row>
    <row r="22" spans="1:14" ht="15.95" customHeight="1" x14ac:dyDescent="0.25">
      <c r="A22" s="164" t="s">
        <v>32</v>
      </c>
      <c r="B22" s="164"/>
      <c r="C22" s="19">
        <f>C21/87</f>
        <v>4421.35632183908</v>
      </c>
      <c r="D22" s="19">
        <f>D21/87</f>
        <v>4283.0574712643675</v>
      </c>
      <c r="E22" s="19">
        <f>E21/87</f>
        <v>138.29885057471265</v>
      </c>
      <c r="F22" s="19">
        <f t="shared" ref="F22:H22" si="5">F21/4</f>
        <v>32480.5</v>
      </c>
      <c r="G22" s="19">
        <f t="shared" si="5"/>
        <v>27716.25</v>
      </c>
      <c r="H22" s="52">
        <f t="shared" si="5"/>
        <v>4764.25</v>
      </c>
      <c r="I22" s="19">
        <f>I21/3</f>
        <v>4132.333333333333</v>
      </c>
      <c r="J22" s="19">
        <f>J21/3</f>
        <v>5381.333333333333</v>
      </c>
      <c r="K22" s="19">
        <f>K21/3</f>
        <v>-1249</v>
      </c>
      <c r="L22" s="19">
        <f>L21/78</f>
        <v>3106.9102564102564</v>
      </c>
      <c r="M22" s="19">
        <f>M21/78</f>
        <v>3148.9358974358975</v>
      </c>
      <c r="N22" s="19">
        <f>N21/78</f>
        <v>-42.025641025641029</v>
      </c>
    </row>
    <row r="23" spans="1:14" ht="28.5" customHeight="1" x14ac:dyDescent="0.25">
      <c r="A23" s="110" t="s">
        <v>29</v>
      </c>
      <c r="B23" s="111"/>
      <c r="C23" s="48">
        <f t="shared" ref="C23:N23" si="6">SUM(C14,C21)</f>
        <v>1684101</v>
      </c>
      <c r="D23" s="48">
        <f t="shared" si="6"/>
        <v>1574588</v>
      </c>
      <c r="E23" s="48">
        <f t="shared" si="6"/>
        <v>109513</v>
      </c>
      <c r="F23" s="48">
        <f t="shared" si="6"/>
        <v>581424</v>
      </c>
      <c r="G23" s="48">
        <f t="shared" si="6"/>
        <v>505274</v>
      </c>
      <c r="H23" s="55">
        <f t="shared" si="6"/>
        <v>76150</v>
      </c>
      <c r="I23" s="47">
        <f t="shared" si="6"/>
        <v>435176</v>
      </c>
      <c r="J23" s="47">
        <f t="shared" si="6"/>
        <v>404423</v>
      </c>
      <c r="K23" s="47">
        <f t="shared" si="6"/>
        <v>30753</v>
      </c>
      <c r="L23" s="47">
        <f t="shared" si="6"/>
        <v>667501</v>
      </c>
      <c r="M23" s="47">
        <f t="shared" si="6"/>
        <v>664891</v>
      </c>
      <c r="N23" s="47">
        <f t="shared" si="6"/>
        <v>2610</v>
      </c>
    </row>
    <row r="24" spans="1:14" ht="33" customHeight="1" x14ac:dyDescent="0.25">
      <c r="A24" s="110" t="s">
        <v>31</v>
      </c>
      <c r="B24" s="111"/>
      <c r="C24" s="48">
        <f>C23/192</f>
        <v>8771.359375</v>
      </c>
      <c r="D24" s="48">
        <f>D23/192</f>
        <v>8200.9791666666661</v>
      </c>
      <c r="E24" s="48">
        <f>E23/192</f>
        <v>570.38020833333337</v>
      </c>
      <c r="F24" s="48">
        <f t="shared" ref="F24:H24" si="7">F23/11</f>
        <v>52856.727272727272</v>
      </c>
      <c r="G24" s="48">
        <f t="shared" si="7"/>
        <v>45934</v>
      </c>
      <c r="H24" s="48">
        <f t="shared" si="7"/>
        <v>6922.727272727273</v>
      </c>
      <c r="I24" s="48">
        <f>I23/19</f>
        <v>22904</v>
      </c>
      <c r="J24" s="55">
        <f>J23/19</f>
        <v>21285.42105263158</v>
      </c>
      <c r="K24" s="48">
        <f>K23/19</f>
        <v>1618.578947368421</v>
      </c>
      <c r="L24" s="48">
        <f>L23/152</f>
        <v>4391.4539473684208</v>
      </c>
      <c r="M24" s="48">
        <f>M23/152</f>
        <v>4374.2828947368425</v>
      </c>
      <c r="N24" s="48">
        <f>N23/152</f>
        <v>17.171052631578949</v>
      </c>
    </row>
    <row r="25" spans="1:14" x14ac:dyDescent="0.25">
      <c r="I25" s="35"/>
      <c r="J25" s="35"/>
      <c r="K25" s="35"/>
    </row>
    <row r="26" spans="1:14" ht="15.75" customHeight="1" x14ac:dyDescent="0.25">
      <c r="I26" s="35"/>
      <c r="J26" s="35"/>
      <c r="K26" s="35"/>
    </row>
    <row r="27" spans="1:14" ht="15.75" customHeight="1" x14ac:dyDescent="0.25">
      <c r="I27" s="35"/>
      <c r="J27" s="35"/>
      <c r="K27" s="35"/>
    </row>
    <row r="28" spans="1:14" ht="15.75" customHeight="1" x14ac:dyDescent="0.25">
      <c r="I28" s="35"/>
      <c r="J28" s="35"/>
      <c r="K28" s="35"/>
    </row>
    <row r="29" spans="1:14" ht="15.75" customHeight="1" x14ac:dyDescent="0.25">
      <c r="I29" s="35"/>
      <c r="J29" s="35"/>
      <c r="K29" s="35"/>
    </row>
    <row r="30" spans="1:14" ht="15.75" customHeight="1" x14ac:dyDescent="0.25">
      <c r="I30" s="35"/>
      <c r="J30" s="35"/>
      <c r="K30" s="35"/>
    </row>
    <row r="31" spans="1:14" ht="15.75" customHeight="1" x14ac:dyDescent="0.25">
      <c r="I31" s="35"/>
      <c r="J31" s="35"/>
      <c r="K31" s="35"/>
    </row>
    <row r="32" spans="1:14" ht="15.75" customHeight="1" x14ac:dyDescent="0.25">
      <c r="I32" s="35"/>
      <c r="J32" s="35"/>
      <c r="K32" s="35"/>
    </row>
    <row r="33" spans="9:11" x14ac:dyDescent="0.25">
      <c r="I33" s="35"/>
      <c r="J33" s="35"/>
      <c r="K33" s="35"/>
    </row>
    <row r="34" spans="9:11" ht="15.75" customHeight="1" x14ac:dyDescent="0.25">
      <c r="I34" s="35"/>
      <c r="J34" s="35"/>
      <c r="K34" s="35"/>
    </row>
    <row r="35" spans="9:11" ht="15.75" customHeight="1" x14ac:dyDescent="0.25">
      <c r="I35" s="35"/>
      <c r="J35" s="35"/>
      <c r="K35" s="35"/>
    </row>
    <row r="36" spans="9:11" ht="15.75" customHeight="1" x14ac:dyDescent="0.25">
      <c r="I36" s="35"/>
      <c r="J36" s="35"/>
      <c r="K36" s="35"/>
    </row>
    <row r="37" spans="9:11" ht="15.75" customHeight="1" x14ac:dyDescent="0.25">
      <c r="I37" s="35"/>
      <c r="J37" s="35"/>
      <c r="K37" s="35"/>
    </row>
  </sheetData>
  <mergeCells count="14">
    <mergeCell ref="A16:N16"/>
    <mergeCell ref="A21:B21"/>
    <mergeCell ref="A23:B23"/>
    <mergeCell ref="A24:B24"/>
    <mergeCell ref="A2:N2"/>
    <mergeCell ref="C4:E4"/>
    <mergeCell ref="F4:H4"/>
    <mergeCell ref="I4:K4"/>
    <mergeCell ref="L4:N4"/>
    <mergeCell ref="A14:B14"/>
    <mergeCell ref="A4:A5"/>
    <mergeCell ref="B4:B5"/>
    <mergeCell ref="A15:B15"/>
    <mergeCell ref="A22:B22"/>
  </mergeCells>
  <pageMargins left="0.70000000000000007" right="0.70000000000000007" top="0.75" bottom="0.75" header="0.30000000000000004" footer="0.30000000000000004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A2:R29"/>
  <sheetViews>
    <sheetView workbookViewId="0">
      <selection activeCell="R25" sqref="R25"/>
    </sheetView>
  </sheetViews>
  <sheetFormatPr defaultRowHeight="15" x14ac:dyDescent="0.25"/>
  <cols>
    <col min="1" max="1" width="5.85546875" customWidth="1"/>
    <col min="2" max="2" width="27" customWidth="1"/>
    <col min="3" max="3" width="9.85546875" customWidth="1"/>
    <col min="4" max="4" width="8" customWidth="1"/>
    <col min="5" max="5" width="8.42578125" customWidth="1"/>
    <col min="6" max="6" width="8.140625" customWidth="1"/>
    <col min="7" max="7" width="8.42578125" customWidth="1"/>
    <col min="8" max="9" width="8.28515625" customWidth="1"/>
    <col min="10" max="10" width="8" customWidth="1"/>
    <col min="11" max="12" width="8.5703125" customWidth="1"/>
    <col min="13" max="13" width="8.28515625" customWidth="1"/>
    <col min="14" max="14" width="8" customWidth="1"/>
    <col min="15" max="15" width="8.42578125" customWidth="1"/>
    <col min="16" max="16" width="8.5703125" customWidth="1"/>
    <col min="17" max="17" width="8.42578125" customWidth="1"/>
    <col min="18" max="18" width="9.5703125" customWidth="1"/>
  </cols>
  <sheetData>
    <row r="2" spans="1:18" ht="15.75" x14ac:dyDescent="0.25">
      <c r="A2" s="143" t="s">
        <v>106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 ht="15.75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18" ht="15.95" customHeight="1" x14ac:dyDescent="0.25">
      <c r="A4" s="117" t="s">
        <v>0</v>
      </c>
      <c r="B4" s="117" t="s">
        <v>1</v>
      </c>
      <c r="C4" s="130" t="s">
        <v>51</v>
      </c>
      <c r="D4" s="144"/>
      <c r="E4" s="144"/>
      <c r="F4" s="144"/>
      <c r="G4" s="144"/>
      <c r="H4" s="144"/>
      <c r="I4" s="144"/>
      <c r="J4" s="131"/>
      <c r="K4" s="130" t="s">
        <v>52</v>
      </c>
      <c r="L4" s="144"/>
      <c r="M4" s="144"/>
      <c r="N4" s="144"/>
      <c r="O4" s="144"/>
      <c r="P4" s="144"/>
      <c r="Q4" s="144"/>
      <c r="R4" s="131"/>
    </row>
    <row r="5" spans="1:18" ht="28.5" customHeight="1" x14ac:dyDescent="0.25">
      <c r="A5" s="117"/>
      <c r="B5" s="117"/>
      <c r="C5" s="130" t="s">
        <v>47</v>
      </c>
      <c r="D5" s="131"/>
      <c r="E5" s="130" t="s">
        <v>3</v>
      </c>
      <c r="F5" s="131"/>
      <c r="G5" s="130" t="s">
        <v>45</v>
      </c>
      <c r="H5" s="131"/>
      <c r="I5" s="130" t="s">
        <v>46</v>
      </c>
      <c r="J5" s="131"/>
      <c r="K5" s="130" t="s">
        <v>47</v>
      </c>
      <c r="L5" s="131"/>
      <c r="M5" s="130" t="s">
        <v>3</v>
      </c>
      <c r="N5" s="131"/>
      <c r="O5" s="130" t="s">
        <v>45</v>
      </c>
      <c r="P5" s="131"/>
      <c r="Q5" s="130" t="s">
        <v>46</v>
      </c>
      <c r="R5" s="131"/>
    </row>
    <row r="6" spans="1:18" ht="16.5" customHeight="1" x14ac:dyDescent="0.25">
      <c r="A6" s="117"/>
      <c r="B6" s="117"/>
      <c r="C6" s="20" t="s">
        <v>50</v>
      </c>
      <c r="D6" s="20" t="s">
        <v>43</v>
      </c>
      <c r="E6" s="20" t="s">
        <v>50</v>
      </c>
      <c r="F6" s="20" t="s">
        <v>43</v>
      </c>
      <c r="G6" s="20" t="s">
        <v>50</v>
      </c>
      <c r="H6" s="20" t="s">
        <v>43</v>
      </c>
      <c r="I6" s="20" t="s">
        <v>50</v>
      </c>
      <c r="J6" s="20" t="s">
        <v>43</v>
      </c>
      <c r="K6" s="20" t="s">
        <v>50</v>
      </c>
      <c r="L6" s="20" t="s">
        <v>43</v>
      </c>
      <c r="M6" s="20" t="s">
        <v>50</v>
      </c>
      <c r="N6" s="20" t="s">
        <v>43</v>
      </c>
      <c r="O6" s="20" t="s">
        <v>50</v>
      </c>
      <c r="P6" s="20" t="s">
        <v>43</v>
      </c>
      <c r="Q6" s="20" t="s">
        <v>50</v>
      </c>
      <c r="R6" s="20" t="s">
        <v>43</v>
      </c>
    </row>
    <row r="7" spans="1:18" ht="15.95" customHeight="1" x14ac:dyDescent="0.25">
      <c r="A7" s="23" t="s">
        <v>7</v>
      </c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6"/>
    </row>
    <row r="8" spans="1:18" ht="15.95" customHeight="1" x14ac:dyDescent="0.25">
      <c r="A8" s="14" t="s">
        <v>8</v>
      </c>
      <c r="B8" s="17" t="s">
        <v>9</v>
      </c>
      <c r="C8" s="94">
        <v>325431</v>
      </c>
      <c r="D8" s="86">
        <f>C8*100/540988</f>
        <v>60.154938741709614</v>
      </c>
      <c r="E8" s="77">
        <v>70681</v>
      </c>
      <c r="F8" s="75">
        <f>E8*100/169375</f>
        <v>41.730479704797048</v>
      </c>
      <c r="G8" s="77">
        <v>254750</v>
      </c>
      <c r="H8" s="75">
        <f>G8*100/371613</f>
        <v>68.552499508897697</v>
      </c>
      <c r="I8" s="77" t="s">
        <v>11</v>
      </c>
      <c r="J8" s="75" t="s">
        <v>11</v>
      </c>
      <c r="K8" s="77">
        <v>216074</v>
      </c>
      <c r="L8" s="95">
        <f>K8*100/540988</f>
        <v>39.940627148846183</v>
      </c>
      <c r="M8" s="77">
        <v>117380</v>
      </c>
      <c r="N8" s="86">
        <f>M8*100/169375</f>
        <v>69.30184501845018</v>
      </c>
      <c r="O8" s="77">
        <v>98694</v>
      </c>
      <c r="P8" s="86">
        <f>O8*100/371613</f>
        <v>26.558274333782727</v>
      </c>
      <c r="Q8" s="85" t="s">
        <v>11</v>
      </c>
      <c r="R8" s="86" t="s">
        <v>11</v>
      </c>
    </row>
    <row r="9" spans="1:18" ht="15.95" customHeight="1" x14ac:dyDescent="0.25">
      <c r="A9" s="14" t="s">
        <v>12</v>
      </c>
      <c r="B9" s="17" t="s">
        <v>13</v>
      </c>
      <c r="C9" s="77">
        <v>121889</v>
      </c>
      <c r="D9" s="75">
        <f>C9*100/211377</f>
        <v>57.664268108640016</v>
      </c>
      <c r="E9" s="77">
        <v>25654</v>
      </c>
      <c r="F9" s="75">
        <f>E9*100/31417</f>
        <v>81.656428048508772</v>
      </c>
      <c r="G9" s="15">
        <v>6074</v>
      </c>
      <c r="H9" s="75">
        <f>G9*100/15967</f>
        <v>38.040959478925281</v>
      </c>
      <c r="I9" s="15">
        <v>90161</v>
      </c>
      <c r="J9" s="75">
        <f>I9*100/163993</f>
        <v>54.978566158311637</v>
      </c>
      <c r="K9" s="85">
        <v>89488</v>
      </c>
      <c r="L9" s="86">
        <f>K9*100/211377</f>
        <v>42.335731891359984</v>
      </c>
      <c r="M9" s="85">
        <v>5763</v>
      </c>
      <c r="N9" s="86">
        <f>M9*100/31417</f>
        <v>18.343571951491231</v>
      </c>
      <c r="O9" s="85">
        <v>9893</v>
      </c>
      <c r="P9" s="86">
        <f>O9*100/15967</f>
        <v>61.959040521074719</v>
      </c>
      <c r="Q9" s="85">
        <v>73832</v>
      </c>
      <c r="R9" s="86">
        <f>Q9*100/163993</f>
        <v>45.021433841688363</v>
      </c>
    </row>
    <row r="10" spans="1:18" ht="15.95" customHeight="1" x14ac:dyDescent="0.25">
      <c r="A10" s="14" t="s">
        <v>14</v>
      </c>
      <c r="B10" s="17" t="s">
        <v>15</v>
      </c>
      <c r="C10" s="77">
        <v>75335</v>
      </c>
      <c r="D10" s="75">
        <f>C10*100/143169</f>
        <v>52.619631344774355</v>
      </c>
      <c r="E10" s="77">
        <v>29721</v>
      </c>
      <c r="F10" s="75">
        <f>E10*100/48357</f>
        <v>61.461629133320926</v>
      </c>
      <c r="G10" s="15">
        <v>7468</v>
      </c>
      <c r="H10" s="75">
        <f>G10*100/16568</f>
        <v>45.074843070980201</v>
      </c>
      <c r="I10" s="15">
        <v>38146</v>
      </c>
      <c r="J10" s="75">
        <f>I10*100/78244</f>
        <v>48.752620009201983</v>
      </c>
      <c r="K10" s="85">
        <v>67834</v>
      </c>
      <c r="L10" s="86">
        <f>K10*100/143169</f>
        <v>47.380368655225645</v>
      </c>
      <c r="M10" s="85">
        <v>18636</v>
      </c>
      <c r="N10" s="86">
        <f>M10*100/48357</f>
        <v>38.538370866679074</v>
      </c>
      <c r="O10" s="85">
        <v>9100</v>
      </c>
      <c r="P10" s="86">
        <f>O10*100/16568</f>
        <v>54.925156929019799</v>
      </c>
      <c r="Q10" s="85">
        <v>40098</v>
      </c>
      <c r="R10" s="86">
        <f>Q10*100/78244</f>
        <v>51.247379990798017</v>
      </c>
    </row>
    <row r="11" spans="1:18" ht="15.95" customHeight="1" x14ac:dyDescent="0.25">
      <c r="A11" s="14" t="s">
        <v>16</v>
      </c>
      <c r="B11" s="17" t="s">
        <v>17</v>
      </c>
      <c r="C11" s="77">
        <v>11794</v>
      </c>
      <c r="D11" s="75">
        <f>11483*100/19748</f>
        <v>58.147660522584566</v>
      </c>
      <c r="E11" s="77">
        <v>4392</v>
      </c>
      <c r="F11" s="75">
        <f>E11*100/7386</f>
        <v>59.463850528025993</v>
      </c>
      <c r="G11" s="15">
        <v>7402</v>
      </c>
      <c r="H11" s="75">
        <f>G11*100/12362</f>
        <v>59.877042549749234</v>
      </c>
      <c r="I11" s="15" t="s">
        <v>11</v>
      </c>
      <c r="J11" s="75" t="s">
        <v>11</v>
      </c>
      <c r="K11" s="85">
        <v>1373</v>
      </c>
      <c r="L11" s="86">
        <f>K11*100/19748</f>
        <v>6.9526027952197689</v>
      </c>
      <c r="M11" s="85">
        <v>877</v>
      </c>
      <c r="N11" s="86">
        <f>M11*100/7386</f>
        <v>11.873815326292986</v>
      </c>
      <c r="O11" s="85">
        <v>496</v>
      </c>
      <c r="P11" s="86">
        <f>O11*100/12362</f>
        <v>4.0122957450250771</v>
      </c>
      <c r="Q11" s="85" t="s">
        <v>11</v>
      </c>
      <c r="R11" s="86" t="s">
        <v>11</v>
      </c>
    </row>
    <row r="12" spans="1:18" ht="15.95" customHeight="1" x14ac:dyDescent="0.25">
      <c r="A12" s="14" t="s">
        <v>18</v>
      </c>
      <c r="B12" s="17" t="s">
        <v>19</v>
      </c>
      <c r="C12" s="77">
        <v>47705</v>
      </c>
      <c r="D12" s="75">
        <f>C12*100/124450</f>
        <v>38.332663720369624</v>
      </c>
      <c r="E12" s="77">
        <v>47705</v>
      </c>
      <c r="F12" s="75">
        <f>E12*100/124450</f>
        <v>38.332663720369624</v>
      </c>
      <c r="G12" s="15" t="s">
        <v>11</v>
      </c>
      <c r="H12" s="75" t="s">
        <v>11</v>
      </c>
      <c r="I12" s="15" t="s">
        <v>11</v>
      </c>
      <c r="J12" s="75" t="s">
        <v>11</v>
      </c>
      <c r="K12" s="77">
        <v>55401</v>
      </c>
      <c r="L12" s="86">
        <f>K12*100/124450</f>
        <v>44.516673362796304</v>
      </c>
      <c r="M12" s="77">
        <v>55401</v>
      </c>
      <c r="N12" s="86">
        <f>M12*100/124450</f>
        <v>44.516673362796304</v>
      </c>
      <c r="O12" s="85" t="s">
        <v>11</v>
      </c>
      <c r="P12" s="86" t="s">
        <v>11</v>
      </c>
      <c r="Q12" s="85" t="s">
        <v>11</v>
      </c>
      <c r="R12" s="86" t="s">
        <v>11</v>
      </c>
    </row>
    <row r="13" spans="1:18" ht="15.95" customHeight="1" x14ac:dyDescent="0.25">
      <c r="A13" s="14" t="s">
        <v>20</v>
      </c>
      <c r="B13" s="17" t="s">
        <v>21</v>
      </c>
      <c r="C13" s="77">
        <v>30548</v>
      </c>
      <c r="D13" s="75">
        <f>C13*100/105581</f>
        <v>28.933236093615328</v>
      </c>
      <c r="E13" s="77">
        <v>10706</v>
      </c>
      <c r="F13" s="75">
        <f>E13*100/30647</f>
        <v>34.933272424707148</v>
      </c>
      <c r="G13" s="77">
        <v>2183</v>
      </c>
      <c r="H13" s="75">
        <f>G13*100/6269</f>
        <v>34.82214069229542</v>
      </c>
      <c r="I13" s="77">
        <v>17659</v>
      </c>
      <c r="J13" s="75">
        <f>I13*100/68665</f>
        <v>25.717614505206438</v>
      </c>
      <c r="K13" s="77">
        <v>3655</v>
      </c>
      <c r="L13" s="86">
        <f>K13*100/105581</f>
        <v>3.4617971036455422</v>
      </c>
      <c r="M13" s="77">
        <v>1682</v>
      </c>
      <c r="N13" s="86">
        <f>M13*100/30647</f>
        <v>5.4883022808105197</v>
      </c>
      <c r="O13" s="77">
        <v>121</v>
      </c>
      <c r="P13" s="86">
        <f>O13*100/6269</f>
        <v>1.9301323975115647</v>
      </c>
      <c r="Q13" s="77">
        <v>1852</v>
      </c>
      <c r="R13" s="86">
        <f>Q13*100/68665</f>
        <v>2.6971528435156191</v>
      </c>
    </row>
    <row r="14" spans="1:18" ht="15.95" customHeight="1" x14ac:dyDescent="0.25">
      <c r="A14" s="14" t="s">
        <v>22</v>
      </c>
      <c r="B14" s="17" t="s">
        <v>23</v>
      </c>
      <c r="C14" s="77">
        <v>85553</v>
      </c>
      <c r="D14" s="75">
        <f>C14*100/154130</f>
        <v>55.507039512100178</v>
      </c>
      <c r="E14" s="77">
        <v>23363</v>
      </c>
      <c r="F14" s="75">
        <f>E14*100/39870</f>
        <v>58.59794331577627</v>
      </c>
      <c r="G14" s="15" t="s">
        <v>11</v>
      </c>
      <c r="H14" s="75" t="s">
        <v>11</v>
      </c>
      <c r="I14" s="15">
        <v>62190</v>
      </c>
      <c r="J14" s="75">
        <f>I14*100/114260</f>
        <v>54.428496411692628</v>
      </c>
      <c r="K14" s="85">
        <v>19725</v>
      </c>
      <c r="L14" s="86">
        <f>K14*100/154130</f>
        <v>12.797638357230909</v>
      </c>
      <c r="M14" s="85">
        <v>9450</v>
      </c>
      <c r="N14" s="86">
        <f>M14*100/39870</f>
        <v>23.702031602708804</v>
      </c>
      <c r="O14" s="85" t="s">
        <v>11</v>
      </c>
      <c r="P14" s="86" t="s">
        <v>11</v>
      </c>
      <c r="Q14" s="85">
        <v>10275</v>
      </c>
      <c r="R14" s="86">
        <f>Q14*100/114260</f>
        <v>8.9926483458778232</v>
      </c>
    </row>
    <row r="15" spans="1:18" ht="15.95" customHeight="1" x14ac:dyDescent="0.25">
      <c r="A15" s="164" t="s">
        <v>30</v>
      </c>
      <c r="B15" s="164"/>
      <c r="C15" s="19">
        <f t="shared" ref="C15:R15" si="0">SUM(C8:C14)</f>
        <v>698255</v>
      </c>
      <c r="D15" s="37">
        <f t="shared" si="0"/>
        <v>351.35943804379366</v>
      </c>
      <c r="E15" s="19">
        <f t="shared" si="0"/>
        <v>212222</v>
      </c>
      <c r="F15" s="37">
        <f t="shared" si="0"/>
        <v>376.17626687550575</v>
      </c>
      <c r="G15" s="19">
        <f t="shared" si="0"/>
        <v>277877</v>
      </c>
      <c r="H15" s="37">
        <f t="shared" si="0"/>
        <v>246.36748530084782</v>
      </c>
      <c r="I15" s="19">
        <f t="shared" si="0"/>
        <v>208156</v>
      </c>
      <c r="J15" s="37">
        <f t="shared" si="0"/>
        <v>183.87729708441267</v>
      </c>
      <c r="K15" s="53">
        <f t="shared" si="0"/>
        <v>453550</v>
      </c>
      <c r="L15" s="61">
        <f t="shared" si="0"/>
        <v>197.38543931432434</v>
      </c>
      <c r="M15" s="53">
        <f t="shared" si="0"/>
        <v>209189</v>
      </c>
      <c r="N15" s="61">
        <f t="shared" si="0"/>
        <v>211.76461040922911</v>
      </c>
      <c r="O15" s="53">
        <f t="shared" si="0"/>
        <v>118304</v>
      </c>
      <c r="P15" s="61">
        <f t="shared" si="0"/>
        <v>149.38489992641388</v>
      </c>
      <c r="Q15" s="54">
        <f t="shared" si="0"/>
        <v>126057</v>
      </c>
      <c r="R15" s="61">
        <f t="shared" si="0"/>
        <v>107.95861502187984</v>
      </c>
    </row>
    <row r="16" spans="1:18" ht="15.75" customHeight="1" x14ac:dyDescent="0.25">
      <c r="A16" s="166" t="s">
        <v>32</v>
      </c>
      <c r="B16" s="166"/>
      <c r="C16" s="19">
        <f>C15/105</f>
        <v>6650.0476190476193</v>
      </c>
      <c r="D16" s="37">
        <f>D15/105</f>
        <v>3.3462803623218442</v>
      </c>
      <c r="E16" s="19">
        <f>E15/7</f>
        <v>30317.428571428572</v>
      </c>
      <c r="F16" s="37">
        <f>F15/7</f>
        <v>53.73946669650082</v>
      </c>
      <c r="G16" s="51">
        <f>G15/16</f>
        <v>17367.3125</v>
      </c>
      <c r="H16" s="37">
        <f>H15/16</f>
        <v>15.397967831302989</v>
      </c>
      <c r="I16" s="51">
        <f>I15/74</f>
        <v>2812.9189189189187</v>
      </c>
      <c r="J16" s="37">
        <f>J15/74</f>
        <v>2.4848283389785495</v>
      </c>
      <c r="K16" s="54">
        <f>K15/105</f>
        <v>4319.5238095238092</v>
      </c>
      <c r="L16" s="61">
        <f>L15/105</f>
        <v>1.879861326803089</v>
      </c>
      <c r="M16" s="54">
        <f>M15/7</f>
        <v>29884.142857142859</v>
      </c>
      <c r="N16" s="61">
        <f>N15/7</f>
        <v>30.252087201318442</v>
      </c>
      <c r="O16" s="54">
        <f>O15/16</f>
        <v>7394</v>
      </c>
      <c r="P16" s="61">
        <f>P15/16</f>
        <v>9.3365562454008675</v>
      </c>
      <c r="Q16" s="54">
        <f>Q15/74</f>
        <v>1703.4729729729729</v>
      </c>
      <c r="R16" s="61">
        <f>R15/74</f>
        <v>1.4589002029983762</v>
      </c>
    </row>
    <row r="17" spans="1:18" ht="15.95" customHeight="1" x14ac:dyDescent="0.25">
      <c r="A17" s="140" t="s">
        <v>24</v>
      </c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2"/>
    </row>
    <row r="18" spans="1:18" ht="15.95" customHeight="1" x14ac:dyDescent="0.25">
      <c r="A18" s="14" t="s">
        <v>8</v>
      </c>
      <c r="B18" s="17" t="s">
        <v>25</v>
      </c>
      <c r="C18" s="77">
        <v>65282</v>
      </c>
      <c r="D18" s="75">
        <f>C18*100/114797</f>
        <v>56.867339738843349</v>
      </c>
      <c r="E18" s="77">
        <v>20114</v>
      </c>
      <c r="F18" s="75">
        <f>E18*100/29889</f>
        <v>67.295660610927101</v>
      </c>
      <c r="G18" s="15">
        <v>2800</v>
      </c>
      <c r="H18" s="75">
        <f>G18*100/4216</f>
        <v>66.413662239089177</v>
      </c>
      <c r="I18" s="15">
        <v>42368</v>
      </c>
      <c r="J18" s="75">
        <f>I18*100/80692</f>
        <v>52.505824617062409</v>
      </c>
      <c r="K18" s="85">
        <v>45370</v>
      </c>
      <c r="L18" s="86">
        <f>K18*100/123158</f>
        <v>36.838857402685981</v>
      </c>
      <c r="M18" s="85">
        <v>6030</v>
      </c>
      <c r="N18" s="86">
        <f>M18*100/29889</f>
        <v>20.174646190906355</v>
      </c>
      <c r="O18" s="85">
        <v>1416</v>
      </c>
      <c r="P18" s="86">
        <f>O18*100/4216</f>
        <v>33.586337760910816</v>
      </c>
      <c r="Q18" s="85">
        <v>37924</v>
      </c>
      <c r="R18" s="86">
        <f>Q18*100/80692</f>
        <v>46.998463292519702</v>
      </c>
    </row>
    <row r="19" spans="1:18" ht="15.95" customHeight="1" x14ac:dyDescent="0.25">
      <c r="A19" s="14" t="s">
        <v>12</v>
      </c>
      <c r="B19" s="17" t="s">
        <v>26</v>
      </c>
      <c r="C19" s="77">
        <v>9222</v>
      </c>
      <c r="D19" s="75">
        <f>C19*100/32238</f>
        <v>28.605992927600969</v>
      </c>
      <c r="E19" s="77">
        <v>3584</v>
      </c>
      <c r="F19" s="77">
        <f>E19*100/6458</f>
        <v>55.497057912666463</v>
      </c>
      <c r="G19" s="15" t="s">
        <v>11</v>
      </c>
      <c r="H19" s="75" t="s">
        <v>11</v>
      </c>
      <c r="I19" s="15">
        <v>5638</v>
      </c>
      <c r="J19" s="75">
        <f>I19*100/25780</f>
        <v>21.869666408068269</v>
      </c>
      <c r="K19" s="85">
        <v>1016</v>
      </c>
      <c r="L19" s="86">
        <f>K19*100/26481</f>
        <v>3.8367131150636307</v>
      </c>
      <c r="M19" s="85">
        <v>319</v>
      </c>
      <c r="N19" s="83">
        <f>M19*100/6458</f>
        <v>4.9396097863115518</v>
      </c>
      <c r="O19" s="85" t="s">
        <v>11</v>
      </c>
      <c r="P19" s="86" t="s">
        <v>11</v>
      </c>
      <c r="Q19" s="85">
        <v>697</v>
      </c>
      <c r="R19" s="86">
        <f>Q19*100/25780</f>
        <v>2.7036462373933281</v>
      </c>
    </row>
    <row r="20" spans="1:18" ht="15.95" customHeight="1" x14ac:dyDescent="0.25">
      <c r="A20" s="14" t="s">
        <v>14</v>
      </c>
      <c r="B20" s="17" t="s">
        <v>27</v>
      </c>
      <c r="C20" s="77">
        <v>39609</v>
      </c>
      <c r="D20" s="75">
        <f>C20*100/100628</f>
        <v>39.361807846722584</v>
      </c>
      <c r="E20" s="77">
        <v>14919</v>
      </c>
      <c r="F20" s="75">
        <f>E20*100/35735</f>
        <v>41.74898558835875</v>
      </c>
      <c r="G20" s="15" t="s">
        <v>11</v>
      </c>
      <c r="H20" s="75" t="s">
        <v>11</v>
      </c>
      <c r="I20" s="15">
        <v>24690</v>
      </c>
      <c r="J20" s="75">
        <f>I20*100/64893</f>
        <v>38.047247006610881</v>
      </c>
      <c r="K20" s="85">
        <v>7963</v>
      </c>
      <c r="L20" s="86">
        <f>K20*100/100628</f>
        <v>7.9133044480661443</v>
      </c>
      <c r="M20" s="85">
        <v>1949</v>
      </c>
      <c r="N20" s="86">
        <f>M20*100/35735</f>
        <v>5.4540366587379321</v>
      </c>
      <c r="O20" s="85" t="s">
        <v>11</v>
      </c>
      <c r="P20" s="86" t="s">
        <v>11</v>
      </c>
      <c r="Q20" s="85">
        <v>6014</v>
      </c>
      <c r="R20" s="86">
        <f>Q20*100/64893</f>
        <v>9.2675635276532145</v>
      </c>
    </row>
    <row r="21" spans="1:18" ht="15.95" customHeight="1" x14ac:dyDescent="0.25">
      <c r="A21" s="14" t="s">
        <v>16</v>
      </c>
      <c r="B21" s="17" t="s">
        <v>28</v>
      </c>
      <c r="C21" s="77">
        <v>82836</v>
      </c>
      <c r="D21" s="75">
        <f>C21*100/136995</f>
        <v>60.466440381035802</v>
      </c>
      <c r="E21" s="77">
        <v>38975</v>
      </c>
      <c r="F21" s="75">
        <f>E21*100/57840</f>
        <v>67.384163208852002</v>
      </c>
      <c r="G21" s="15">
        <v>5367</v>
      </c>
      <c r="H21" s="75">
        <f>G21*100/8181</f>
        <v>65.603226989365609</v>
      </c>
      <c r="I21" s="15">
        <v>38494</v>
      </c>
      <c r="J21" s="75">
        <f>I21*100/70974</f>
        <v>54.236762758193144</v>
      </c>
      <c r="K21" s="85">
        <v>16615</v>
      </c>
      <c r="L21" s="86">
        <f>K21*100/128797</f>
        <v>12.900145189717152</v>
      </c>
      <c r="M21" s="85">
        <v>8826</v>
      </c>
      <c r="N21" s="86">
        <f>M21*100/57840</f>
        <v>15.259336099585063</v>
      </c>
      <c r="O21" s="85">
        <v>513</v>
      </c>
      <c r="P21" s="86">
        <f>O21*100/8181</f>
        <v>6.2706270627062706</v>
      </c>
      <c r="Q21" s="85">
        <v>7276</v>
      </c>
      <c r="R21" s="86">
        <f>Q21*100/70974</f>
        <v>10.251641446163383</v>
      </c>
    </row>
    <row r="22" spans="1:18" ht="15.95" customHeight="1" x14ac:dyDescent="0.25">
      <c r="A22" s="164" t="s">
        <v>30</v>
      </c>
      <c r="B22" s="164"/>
      <c r="C22" s="19">
        <f t="shared" ref="C22:R22" si="1">SUM(C18:C21)</f>
        <v>196949</v>
      </c>
      <c r="D22" s="37">
        <f t="shared" si="1"/>
        <v>185.30158089420271</v>
      </c>
      <c r="E22" s="19">
        <f t="shared" si="1"/>
        <v>77592</v>
      </c>
      <c r="F22" s="37">
        <f t="shared" si="1"/>
        <v>231.92586732080429</v>
      </c>
      <c r="G22" s="51">
        <f t="shared" si="1"/>
        <v>8167</v>
      </c>
      <c r="H22" s="37">
        <f t="shared" si="1"/>
        <v>132.01688922845477</v>
      </c>
      <c r="I22" s="51">
        <f t="shared" si="1"/>
        <v>111190</v>
      </c>
      <c r="J22" s="37">
        <f t="shared" si="1"/>
        <v>166.65950078993473</v>
      </c>
      <c r="K22" s="54">
        <f t="shared" si="1"/>
        <v>70964</v>
      </c>
      <c r="L22" s="61">
        <f t="shared" si="1"/>
        <v>61.489020155532906</v>
      </c>
      <c r="M22" s="54">
        <f t="shared" si="1"/>
        <v>17124</v>
      </c>
      <c r="N22" s="61">
        <f t="shared" si="1"/>
        <v>45.827628735540905</v>
      </c>
      <c r="O22" s="54">
        <f t="shared" si="1"/>
        <v>1929</v>
      </c>
      <c r="P22" s="61">
        <f t="shared" si="1"/>
        <v>39.856964823617083</v>
      </c>
      <c r="Q22" s="54">
        <f t="shared" si="1"/>
        <v>51911</v>
      </c>
      <c r="R22" s="61">
        <f t="shared" si="1"/>
        <v>69.22131450372963</v>
      </c>
    </row>
    <row r="23" spans="1:18" ht="15.95" customHeight="1" x14ac:dyDescent="0.25">
      <c r="A23" s="166" t="s">
        <v>32</v>
      </c>
      <c r="B23" s="166"/>
      <c r="C23" s="37">
        <f>C22/87</f>
        <v>2263.7816091954023</v>
      </c>
      <c r="D23" s="37">
        <f>D22/87</f>
        <v>2.1299032286689967</v>
      </c>
      <c r="E23" s="37">
        <f>E22/4</f>
        <v>19398</v>
      </c>
      <c r="F23" s="37">
        <f>F22/4</f>
        <v>57.981466830201072</v>
      </c>
      <c r="G23" s="37">
        <f>G22/3</f>
        <v>2722.3333333333335</v>
      </c>
      <c r="H23" s="37">
        <f>H22/3</f>
        <v>44.005629742818257</v>
      </c>
      <c r="I23" s="37">
        <f>I22/78</f>
        <v>1425.5128205128206</v>
      </c>
      <c r="J23" s="37">
        <f>J22/78</f>
        <v>2.1366602665376249</v>
      </c>
      <c r="K23" s="61">
        <f>K22/87</f>
        <v>815.67816091954023</v>
      </c>
      <c r="L23" s="61">
        <f>L22/87</f>
        <v>0.70677034661532079</v>
      </c>
      <c r="M23" s="61">
        <f t="shared" ref="M23:N23" si="2">M22/4</f>
        <v>4281</v>
      </c>
      <c r="N23" s="61">
        <f t="shared" si="2"/>
        <v>11.456907183885226</v>
      </c>
      <c r="O23" s="61">
        <f>O22/3</f>
        <v>643</v>
      </c>
      <c r="P23" s="61">
        <f>P22/3</f>
        <v>13.285654941205694</v>
      </c>
      <c r="Q23" s="61">
        <f>Q22/78</f>
        <v>665.52564102564099</v>
      </c>
      <c r="R23" s="61">
        <f>R22/78</f>
        <v>0.88745275004781576</v>
      </c>
    </row>
    <row r="24" spans="1:18" ht="28.5" customHeight="1" x14ac:dyDescent="0.25">
      <c r="A24" s="165" t="s">
        <v>29</v>
      </c>
      <c r="B24" s="165"/>
      <c r="C24" s="48">
        <f t="shared" ref="C24:H24" si="3">SUM(C15,C22)</f>
        <v>895204</v>
      </c>
      <c r="D24" s="58">
        <f t="shared" si="3"/>
        <v>536.66101893799635</v>
      </c>
      <c r="E24" s="48">
        <f t="shared" si="3"/>
        <v>289814</v>
      </c>
      <c r="F24" s="58">
        <f t="shared" si="3"/>
        <v>608.10213419631009</v>
      </c>
      <c r="G24" s="48">
        <f t="shared" si="3"/>
        <v>286044</v>
      </c>
      <c r="H24" s="58">
        <f t="shared" si="3"/>
        <v>378.38437452930259</v>
      </c>
      <c r="I24" s="58">
        <f>SUM(J15,J22)</f>
        <v>350.53679787434737</v>
      </c>
      <c r="J24" s="58">
        <f t="shared" ref="J24:R24" si="4">SUM(J15,J22)</f>
        <v>350.53679787434737</v>
      </c>
      <c r="K24" s="56">
        <f t="shared" si="4"/>
        <v>524514</v>
      </c>
      <c r="L24" s="62">
        <f t="shared" si="4"/>
        <v>258.87445946985724</v>
      </c>
      <c r="M24" s="56">
        <f t="shared" si="4"/>
        <v>226313</v>
      </c>
      <c r="N24" s="62">
        <f t="shared" si="4"/>
        <v>257.59223914477002</v>
      </c>
      <c r="O24" s="56">
        <f t="shared" si="4"/>
        <v>120233</v>
      </c>
      <c r="P24" s="62">
        <f t="shared" si="4"/>
        <v>189.24186475003097</v>
      </c>
      <c r="Q24" s="64">
        <f t="shared" si="4"/>
        <v>177968</v>
      </c>
      <c r="R24" s="62">
        <f t="shared" si="4"/>
        <v>177.17992952560945</v>
      </c>
    </row>
    <row r="25" spans="1:18" ht="35.25" customHeight="1" x14ac:dyDescent="0.25">
      <c r="A25" s="110" t="s">
        <v>31</v>
      </c>
      <c r="B25" s="111"/>
      <c r="C25" s="48">
        <f>C24/192</f>
        <v>4662.520833333333</v>
      </c>
      <c r="D25" s="58">
        <f>D24/192</f>
        <v>2.7951094736353976</v>
      </c>
      <c r="E25" s="48">
        <f>E24/11</f>
        <v>26346.727272727272</v>
      </c>
      <c r="F25" s="58">
        <f>F24/11</f>
        <v>55.282012199664557</v>
      </c>
      <c r="G25" s="48">
        <f>G24/19</f>
        <v>15054.947368421053</v>
      </c>
      <c r="H25" s="65">
        <f>H24/19</f>
        <v>19.91496708048961</v>
      </c>
      <c r="I25" s="48">
        <f>I24/152</f>
        <v>2.30616314391018</v>
      </c>
      <c r="J25" s="58">
        <f>J24/152</f>
        <v>2.30616314391018</v>
      </c>
      <c r="K25" s="64">
        <f>K24/192</f>
        <v>2731.84375</v>
      </c>
      <c r="L25" s="62">
        <f>L24/192</f>
        <v>1.3483044764055065</v>
      </c>
      <c r="M25" s="64">
        <f>M24/11</f>
        <v>20573.909090909092</v>
      </c>
      <c r="N25" s="62">
        <f>N24/11</f>
        <v>23.417476285888185</v>
      </c>
      <c r="O25" s="64">
        <f>O24/19</f>
        <v>6328.0526315789475</v>
      </c>
      <c r="P25" s="62">
        <f>P24/19</f>
        <v>9.9600981447384722</v>
      </c>
      <c r="Q25" s="64">
        <f>Q24/152</f>
        <v>1170.8421052631579</v>
      </c>
      <c r="R25" s="62">
        <f>R24/152</f>
        <v>1.1656574310895358</v>
      </c>
    </row>
    <row r="27" spans="1:18" x14ac:dyDescent="0.25">
      <c r="A27" t="s">
        <v>66</v>
      </c>
    </row>
    <row r="29" spans="1:18" ht="28.5" x14ac:dyDescent="0.45">
      <c r="J29" s="67"/>
    </row>
  </sheetData>
  <mergeCells count="20">
    <mergeCell ref="A2:R2"/>
    <mergeCell ref="C4:J4"/>
    <mergeCell ref="K4:R4"/>
    <mergeCell ref="K5:L5"/>
    <mergeCell ref="M5:N5"/>
    <mergeCell ref="O5:P5"/>
    <mergeCell ref="Q5:R5"/>
    <mergeCell ref="G5:H5"/>
    <mergeCell ref="I5:J5"/>
    <mergeCell ref="A22:B22"/>
    <mergeCell ref="A24:B24"/>
    <mergeCell ref="A25:B25"/>
    <mergeCell ref="C5:D5"/>
    <mergeCell ref="E5:F5"/>
    <mergeCell ref="A17:R17"/>
    <mergeCell ref="A15:B15"/>
    <mergeCell ref="A4:A6"/>
    <mergeCell ref="B4:B6"/>
    <mergeCell ref="A16:B16"/>
    <mergeCell ref="A23:B23"/>
  </mergeCells>
  <pageMargins left="0.70000000000000007" right="0.70000000000000007" top="0.75" bottom="0.75" header="0.30000000000000004" footer="0.30000000000000004"/>
  <pageSetup orientation="portrait" r:id="rId1"/>
  <ignoredErrors>
    <ignoredError sqref="I24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J29"/>
  <sheetViews>
    <sheetView topLeftCell="A4" workbookViewId="0">
      <selection activeCell="J27" sqref="J27"/>
    </sheetView>
  </sheetViews>
  <sheetFormatPr defaultRowHeight="15" x14ac:dyDescent="0.25"/>
  <cols>
    <col min="1" max="1" width="5.28515625" customWidth="1"/>
    <col min="2" max="2" width="28.140625" customWidth="1"/>
    <col min="3" max="3" width="8.7109375" customWidth="1"/>
    <col min="4" max="4" width="11.28515625" customWidth="1"/>
    <col min="5" max="5" width="8.7109375" customWidth="1"/>
    <col min="6" max="6" width="8.140625" customWidth="1"/>
    <col min="7" max="7" width="8.42578125" customWidth="1"/>
    <col min="8" max="8" width="8.140625" customWidth="1"/>
    <col min="9" max="9" width="8.5703125" customWidth="1"/>
    <col min="10" max="10" width="8.140625" customWidth="1"/>
  </cols>
  <sheetData>
    <row r="2" spans="1:10" ht="15.75" x14ac:dyDescent="0.25">
      <c r="A2" s="150" t="s">
        <v>54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0" ht="15.75" x14ac:dyDescent="0.25">
      <c r="A3" s="150" t="s">
        <v>107</v>
      </c>
      <c r="B3" s="150"/>
      <c r="C3" s="150"/>
      <c r="D3" s="150"/>
      <c r="E3" s="150"/>
      <c r="F3" s="150"/>
      <c r="G3" s="150"/>
      <c r="H3" s="150"/>
      <c r="I3" s="150"/>
      <c r="J3" s="150"/>
    </row>
    <row r="4" spans="1:10" ht="15.75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</row>
    <row r="5" spans="1:10" ht="15.95" customHeight="1" x14ac:dyDescent="0.25">
      <c r="A5" s="117" t="s">
        <v>0</v>
      </c>
      <c r="B5" s="117" t="s">
        <v>1</v>
      </c>
      <c r="C5" s="117" t="s">
        <v>53</v>
      </c>
      <c r="D5" s="117"/>
      <c r="E5" s="117"/>
      <c r="F5" s="117"/>
      <c r="G5" s="117"/>
      <c r="H5" s="117"/>
      <c r="I5" s="117"/>
      <c r="J5" s="117"/>
    </row>
    <row r="6" spans="1:10" ht="12.75" customHeight="1" x14ac:dyDescent="0.25">
      <c r="A6" s="117"/>
      <c r="B6" s="117"/>
      <c r="C6" s="134" t="s">
        <v>47</v>
      </c>
      <c r="D6" s="132"/>
      <c r="E6" s="134" t="s">
        <v>3</v>
      </c>
      <c r="F6" s="132"/>
      <c r="G6" s="134" t="s">
        <v>45</v>
      </c>
      <c r="H6" s="132"/>
      <c r="I6" s="134" t="s">
        <v>46</v>
      </c>
      <c r="J6" s="132"/>
    </row>
    <row r="7" spans="1:10" ht="15" customHeight="1" x14ac:dyDescent="0.25">
      <c r="A7" s="117"/>
      <c r="B7" s="117"/>
      <c r="C7" s="136"/>
      <c r="D7" s="133"/>
      <c r="E7" s="136"/>
      <c r="F7" s="133"/>
      <c r="G7" s="136"/>
      <c r="H7" s="133"/>
      <c r="I7" s="136"/>
      <c r="J7" s="133"/>
    </row>
    <row r="8" spans="1:10" ht="18" customHeight="1" x14ac:dyDescent="0.25">
      <c r="A8" s="117"/>
      <c r="B8" s="117"/>
      <c r="C8" s="20" t="s">
        <v>50</v>
      </c>
      <c r="D8" s="20" t="s">
        <v>43</v>
      </c>
      <c r="E8" s="20" t="s">
        <v>50</v>
      </c>
      <c r="F8" s="20" t="s">
        <v>43</v>
      </c>
      <c r="G8" s="20" t="s">
        <v>50</v>
      </c>
      <c r="H8" s="20" t="s">
        <v>43</v>
      </c>
      <c r="I8" s="20" t="s">
        <v>50</v>
      </c>
      <c r="J8" s="20" t="s">
        <v>43</v>
      </c>
    </row>
    <row r="9" spans="1:10" ht="15.95" customHeight="1" x14ac:dyDescent="0.25">
      <c r="A9" s="140" t="s">
        <v>7</v>
      </c>
      <c r="B9" s="141"/>
      <c r="C9" s="141"/>
      <c r="D9" s="141"/>
      <c r="E9" s="141"/>
      <c r="F9" s="141"/>
      <c r="G9" s="141"/>
      <c r="H9" s="141"/>
      <c r="I9" s="141"/>
      <c r="J9" s="142"/>
    </row>
    <row r="10" spans="1:10" ht="15.95" customHeight="1" x14ac:dyDescent="0.25">
      <c r="A10" s="14" t="s">
        <v>8</v>
      </c>
      <c r="B10" s="17" t="s">
        <v>9</v>
      </c>
      <c r="C10" s="77">
        <v>115193</v>
      </c>
      <c r="D10" s="95">
        <f>C10*100/540988</f>
        <v>21.293078589543576</v>
      </c>
      <c r="E10" s="77">
        <v>45374</v>
      </c>
      <c r="F10" s="75">
        <f>E10*100/169375</f>
        <v>26.789077490774908</v>
      </c>
      <c r="G10" s="77">
        <v>69819</v>
      </c>
      <c r="H10" s="75">
        <f>G10*100/371613</f>
        <v>18.788094065600504</v>
      </c>
      <c r="I10" s="77" t="s">
        <v>11</v>
      </c>
      <c r="J10" s="75" t="s">
        <v>11</v>
      </c>
    </row>
    <row r="11" spans="1:10" ht="15.95" customHeight="1" x14ac:dyDescent="0.25">
      <c r="A11" s="14" t="s">
        <v>12</v>
      </c>
      <c r="B11" s="17" t="s">
        <v>13</v>
      </c>
      <c r="C11" s="77">
        <v>82723</v>
      </c>
      <c r="D11" s="75">
        <f>C11*100/211377</f>
        <v>39.135289080647375</v>
      </c>
      <c r="E11" s="77">
        <v>1557</v>
      </c>
      <c r="F11" s="75">
        <f>E11*100/31417</f>
        <v>4.955915587102524</v>
      </c>
      <c r="G11" s="15">
        <v>9304</v>
      </c>
      <c r="H11" s="75">
        <f>G11*100/15967</f>
        <v>58.270182250892468</v>
      </c>
      <c r="I11" s="15">
        <v>71862</v>
      </c>
      <c r="J11" s="75">
        <f>I11*100/163993</f>
        <v>43.820163055740181</v>
      </c>
    </row>
    <row r="12" spans="1:10" ht="15.95" customHeight="1" x14ac:dyDescent="0.25">
      <c r="A12" s="14" t="s">
        <v>14</v>
      </c>
      <c r="B12" s="17" t="s">
        <v>15</v>
      </c>
      <c r="C12" s="77">
        <v>57303</v>
      </c>
      <c r="D12" s="75">
        <f>C12*100/143169</f>
        <v>40.024726023091588</v>
      </c>
      <c r="E12" s="77">
        <v>12092</v>
      </c>
      <c r="F12" s="75">
        <f>E12*100/48357</f>
        <v>25.005686870566826</v>
      </c>
      <c r="G12" s="15">
        <v>8126</v>
      </c>
      <c r="H12" s="75">
        <f>G12*100/16568</f>
        <v>49.046354418155481</v>
      </c>
      <c r="I12" s="15">
        <v>37085</v>
      </c>
      <c r="J12" s="75">
        <f>I12*100/78244</f>
        <v>47.396605490516848</v>
      </c>
    </row>
    <row r="13" spans="1:10" ht="15.95" customHeight="1" x14ac:dyDescent="0.25">
      <c r="A13" s="14" t="s">
        <v>16</v>
      </c>
      <c r="B13" s="17" t="s">
        <v>17</v>
      </c>
      <c r="C13" s="77">
        <v>6581</v>
      </c>
      <c r="D13" s="75">
        <f>C13*100/19748</f>
        <v>33.324893660117482</v>
      </c>
      <c r="E13" s="77">
        <v>2117</v>
      </c>
      <c r="F13" s="75">
        <f>E13*100/7386</f>
        <v>28.662334145681019</v>
      </c>
      <c r="G13" s="15">
        <v>4464</v>
      </c>
      <c r="H13" s="75">
        <f>G13*100/12362</f>
        <v>36.110661705225695</v>
      </c>
      <c r="I13" s="15" t="s">
        <v>11</v>
      </c>
      <c r="J13" s="75" t="s">
        <v>11</v>
      </c>
    </row>
    <row r="14" spans="1:10" ht="15.95" customHeight="1" x14ac:dyDescent="0.25">
      <c r="A14" s="14" t="s">
        <v>18</v>
      </c>
      <c r="B14" s="17" t="s">
        <v>19</v>
      </c>
      <c r="C14" s="77">
        <v>44082</v>
      </c>
      <c r="D14" s="75">
        <f>C14*100/105581</f>
        <v>41.751830348263418</v>
      </c>
      <c r="E14" s="77">
        <v>44082</v>
      </c>
      <c r="F14" s="75">
        <f>E14*100/124450</f>
        <v>35.421454399357174</v>
      </c>
      <c r="G14" s="77" t="s">
        <v>11</v>
      </c>
      <c r="H14" s="75" t="s">
        <v>11</v>
      </c>
      <c r="I14" s="77" t="s">
        <v>11</v>
      </c>
      <c r="J14" s="75" t="s">
        <v>11</v>
      </c>
    </row>
    <row r="15" spans="1:10" ht="15.95" customHeight="1" x14ac:dyDescent="0.25">
      <c r="A15" s="14" t="s">
        <v>20</v>
      </c>
      <c r="B15" s="17" t="s">
        <v>21</v>
      </c>
      <c r="C15" s="77">
        <v>7171</v>
      </c>
      <c r="D15" s="75">
        <f>C15*100/154130</f>
        <v>4.6525660157010318</v>
      </c>
      <c r="E15" s="77">
        <v>18350</v>
      </c>
      <c r="F15" s="75">
        <f>E15*100/30647</f>
        <v>59.875354847130225</v>
      </c>
      <c r="G15" s="77">
        <v>3965</v>
      </c>
      <c r="H15" s="75">
        <f>G15*100/6269</f>
        <v>63.247726910193016</v>
      </c>
      <c r="I15" s="77">
        <v>49156</v>
      </c>
      <c r="J15" s="75">
        <f>I15*100/68665</f>
        <v>71.588145343333579</v>
      </c>
    </row>
    <row r="16" spans="1:10" ht="15.95" customHeight="1" x14ac:dyDescent="0.25">
      <c r="A16" s="14" t="s">
        <v>22</v>
      </c>
      <c r="B16" s="17" t="s">
        <v>23</v>
      </c>
      <c r="C16" s="77">
        <v>48852</v>
      </c>
      <c r="D16" s="75">
        <f>C16*100/154130</f>
        <v>31.695322130668917</v>
      </c>
      <c r="E16" s="77">
        <v>7057</v>
      </c>
      <c r="F16" s="75">
        <f>E16*100/39870</f>
        <v>17.700025081514923</v>
      </c>
      <c r="G16" s="15" t="s">
        <v>11</v>
      </c>
      <c r="H16" s="75" t="s">
        <v>11</v>
      </c>
      <c r="I16" s="15">
        <v>41795</v>
      </c>
      <c r="J16" s="75">
        <f>I16*100/114260</f>
        <v>36.578855242429547</v>
      </c>
    </row>
    <row r="17" spans="1:10" ht="15.95" customHeight="1" x14ac:dyDescent="0.25">
      <c r="A17" s="164" t="s">
        <v>30</v>
      </c>
      <c r="B17" s="164"/>
      <c r="C17" s="19">
        <f t="shared" ref="C17:J17" si="0">SUM(C10:C16)</f>
        <v>361905</v>
      </c>
      <c r="D17" s="37">
        <f t="shared" si="0"/>
        <v>211.8777058480334</v>
      </c>
      <c r="E17" s="19">
        <f t="shared" si="0"/>
        <v>130629</v>
      </c>
      <c r="F17" s="37">
        <f t="shared" si="0"/>
        <v>198.4098484221276</v>
      </c>
      <c r="G17" s="19">
        <f t="shared" si="0"/>
        <v>95678</v>
      </c>
      <c r="H17" s="37">
        <f t="shared" si="0"/>
        <v>225.46301935006716</v>
      </c>
      <c r="I17" s="19">
        <f t="shared" si="0"/>
        <v>199898</v>
      </c>
      <c r="J17" s="37">
        <f t="shared" si="0"/>
        <v>199.38376913202015</v>
      </c>
    </row>
    <row r="18" spans="1:10" ht="15.95" customHeight="1" x14ac:dyDescent="0.25">
      <c r="A18" s="164" t="s">
        <v>32</v>
      </c>
      <c r="B18" s="164"/>
      <c r="C18" s="19">
        <f>C17/105</f>
        <v>3446.7142857142858</v>
      </c>
      <c r="D18" s="37">
        <f>D17/105</f>
        <v>2.0178829128384135</v>
      </c>
      <c r="E18" s="19">
        <f>E17/7</f>
        <v>18661.285714285714</v>
      </c>
      <c r="F18" s="37">
        <f>F17/7</f>
        <v>28.344264060303942</v>
      </c>
      <c r="G18" s="19">
        <f>G17/16</f>
        <v>5979.875</v>
      </c>
      <c r="H18" s="37">
        <f>H17/16</f>
        <v>14.091438709379197</v>
      </c>
      <c r="I18" s="19">
        <f>I17/74</f>
        <v>2701.3243243243242</v>
      </c>
      <c r="J18" s="37">
        <f>J17/74</f>
        <v>2.6943752585408127</v>
      </c>
    </row>
    <row r="19" spans="1:10" ht="15.95" customHeight="1" x14ac:dyDescent="0.25">
      <c r="A19" s="163" t="s">
        <v>24</v>
      </c>
      <c r="B19" s="163"/>
      <c r="C19" s="163"/>
      <c r="D19" s="163"/>
      <c r="E19" s="163"/>
      <c r="F19" s="163"/>
      <c r="G19" s="163"/>
      <c r="H19" s="163"/>
      <c r="I19" s="163"/>
      <c r="J19" s="163"/>
    </row>
    <row r="20" spans="1:10" ht="15.95" customHeight="1" x14ac:dyDescent="0.25">
      <c r="A20" s="14" t="s">
        <v>8</v>
      </c>
      <c r="B20" s="17" t="s">
        <v>25</v>
      </c>
      <c r="C20" s="77">
        <v>44897</v>
      </c>
      <c r="D20" s="75">
        <f>C20*100/114797</f>
        <v>39.109907053320207</v>
      </c>
      <c r="E20" s="77">
        <v>7268</v>
      </c>
      <c r="F20" s="75">
        <f>E20*100/29889</f>
        <v>24.316638228110676</v>
      </c>
      <c r="G20" s="15">
        <v>1158</v>
      </c>
      <c r="H20" s="75">
        <f>G20*100/4216</f>
        <v>27.466793168880454</v>
      </c>
      <c r="I20" s="15">
        <v>36471</v>
      </c>
      <c r="J20" s="75">
        <f>I20*100/80692</f>
        <v>45.197789124076735</v>
      </c>
    </row>
    <row r="21" spans="1:10" ht="15.95" customHeight="1" x14ac:dyDescent="0.25">
      <c r="A21" s="14" t="s">
        <v>12</v>
      </c>
      <c r="B21" s="17" t="s">
        <v>26</v>
      </c>
      <c r="C21" s="77">
        <v>22000</v>
      </c>
      <c r="D21" s="75">
        <f>C21*100/32238</f>
        <v>68.242446801910788</v>
      </c>
      <c r="E21" s="77">
        <v>2555</v>
      </c>
      <c r="F21" s="77">
        <f>E21*100/6458</f>
        <v>39.563332301021987</v>
      </c>
      <c r="G21" s="15" t="s">
        <v>11</v>
      </c>
      <c r="H21" s="75" t="s">
        <v>11</v>
      </c>
      <c r="I21" s="15">
        <v>19445</v>
      </c>
      <c r="J21" s="75">
        <f>I21*100/25780</f>
        <v>75.426687354538402</v>
      </c>
    </row>
    <row r="22" spans="1:10" ht="15.95" customHeight="1" x14ac:dyDescent="0.25">
      <c r="A22" s="14" t="s">
        <v>14</v>
      </c>
      <c r="B22" s="17" t="s">
        <v>27</v>
      </c>
      <c r="C22" s="77">
        <v>53056</v>
      </c>
      <c r="D22" s="75">
        <f>C22*100/100628</f>
        <v>52.724887705211273</v>
      </c>
      <c r="E22" s="77">
        <v>18867</v>
      </c>
      <c r="F22" s="75">
        <f>E22*100/35735</f>
        <v>52.796977752903317</v>
      </c>
      <c r="G22" s="77" t="s">
        <v>11</v>
      </c>
      <c r="H22" s="75" t="s">
        <v>11</v>
      </c>
      <c r="I22" s="77">
        <v>34189</v>
      </c>
      <c r="J22" s="75">
        <f>I22*100/64893</f>
        <v>52.685189465735903</v>
      </c>
    </row>
    <row r="23" spans="1:10" ht="15.95" customHeight="1" x14ac:dyDescent="0.25">
      <c r="A23" s="14" t="s">
        <v>16</v>
      </c>
      <c r="B23" s="17" t="s">
        <v>28</v>
      </c>
      <c r="C23" s="77">
        <v>37544</v>
      </c>
      <c r="D23" s="75">
        <f>C23*100/136995</f>
        <v>27.405379758385344</v>
      </c>
      <c r="E23" s="77">
        <v>10039</v>
      </c>
      <c r="F23" s="75">
        <f>E23*100/57840</f>
        <v>17.356500691562932</v>
      </c>
      <c r="G23" s="15">
        <v>2301</v>
      </c>
      <c r="H23" s="75">
        <f>G23*100/8181</f>
        <v>28.126145947928126</v>
      </c>
      <c r="I23" s="15">
        <v>25204</v>
      </c>
      <c r="J23" s="75">
        <f>I23*100/70974</f>
        <v>35.511595795643473</v>
      </c>
    </row>
    <row r="24" spans="1:10" ht="15.95" customHeight="1" x14ac:dyDescent="0.25">
      <c r="A24" s="164" t="s">
        <v>30</v>
      </c>
      <c r="B24" s="164"/>
      <c r="C24" s="19">
        <f t="shared" ref="C24:J24" si="1">SUM(C20:C23)</f>
        <v>157497</v>
      </c>
      <c r="D24" s="37">
        <f t="shared" si="1"/>
        <v>187.48262131882763</v>
      </c>
      <c r="E24" s="19">
        <f t="shared" si="1"/>
        <v>38729</v>
      </c>
      <c r="F24" s="37">
        <f t="shared" si="1"/>
        <v>134.03344897359892</v>
      </c>
      <c r="G24" s="51">
        <f t="shared" si="1"/>
        <v>3459</v>
      </c>
      <c r="H24" s="37">
        <f t="shared" si="1"/>
        <v>55.59293911680858</v>
      </c>
      <c r="I24" s="51">
        <f t="shared" si="1"/>
        <v>115309</v>
      </c>
      <c r="J24" s="37">
        <f t="shared" si="1"/>
        <v>208.8212617399945</v>
      </c>
    </row>
    <row r="25" spans="1:10" ht="15.95" customHeight="1" x14ac:dyDescent="0.25">
      <c r="A25" s="164" t="s">
        <v>32</v>
      </c>
      <c r="B25" s="164"/>
      <c r="C25" s="19">
        <f>C24/87</f>
        <v>1810.3103448275863</v>
      </c>
      <c r="D25" s="37">
        <f>D24/87</f>
        <v>2.154972658837099</v>
      </c>
      <c r="E25" s="19">
        <f>E24/4</f>
        <v>9682.25</v>
      </c>
      <c r="F25" s="37">
        <f>F24/4</f>
        <v>33.508362243399731</v>
      </c>
      <c r="G25" s="19">
        <f>G24/3</f>
        <v>1153</v>
      </c>
      <c r="H25" s="37">
        <f>H24/3</f>
        <v>18.53097970560286</v>
      </c>
      <c r="I25" s="19">
        <f>I24/78</f>
        <v>1478.3205128205129</v>
      </c>
      <c r="J25" s="37">
        <f>J24/78</f>
        <v>2.6771956633332628</v>
      </c>
    </row>
    <row r="26" spans="1:10" ht="30.75" customHeight="1" x14ac:dyDescent="0.25">
      <c r="A26" s="165" t="s">
        <v>29</v>
      </c>
      <c r="B26" s="165"/>
      <c r="C26" s="48">
        <f>SUM(C17,C24)</f>
        <v>519402</v>
      </c>
      <c r="D26" s="58">
        <f>SUM(E17,D24)</f>
        <v>130816.48262131882</v>
      </c>
      <c r="E26" s="48">
        <f>SUM(E17,E24)</f>
        <v>169358</v>
      </c>
      <c r="F26" s="58">
        <f>SUM(F17,F24)</f>
        <v>332.44329739572652</v>
      </c>
      <c r="G26" s="48">
        <f>SUM(G17,G24)</f>
        <v>99137</v>
      </c>
      <c r="H26" s="58">
        <f>SUM(H20:H23)</f>
        <v>55.59293911680858</v>
      </c>
      <c r="I26" s="48">
        <f>SUM(I17,I24)</f>
        <v>315207</v>
      </c>
      <c r="J26" s="58">
        <f>SUM(J17,J24)</f>
        <v>408.20503087201462</v>
      </c>
    </row>
    <row r="27" spans="1:10" ht="33.75" customHeight="1" x14ac:dyDescent="0.25">
      <c r="A27" s="165" t="s">
        <v>31</v>
      </c>
      <c r="B27" s="165"/>
      <c r="C27" s="48">
        <f>C26/192</f>
        <v>2705.21875</v>
      </c>
      <c r="D27" s="58">
        <f>D26/192</f>
        <v>681.33584698603556</v>
      </c>
      <c r="E27" s="48">
        <f>E26/11</f>
        <v>15396.181818181818</v>
      </c>
      <c r="F27" s="58">
        <f>F26/11</f>
        <v>30.222117945066046</v>
      </c>
      <c r="G27" s="48">
        <f>G26/19</f>
        <v>5217.7368421052633</v>
      </c>
      <c r="H27" s="58">
        <f>H26/19</f>
        <v>2.9259441640425567</v>
      </c>
      <c r="I27" s="48">
        <f>I26/152</f>
        <v>2073.7302631578946</v>
      </c>
      <c r="J27" s="58">
        <f>J26/152</f>
        <v>2.6855594136316752</v>
      </c>
    </row>
    <row r="29" spans="1:10" ht="36" x14ac:dyDescent="0.55000000000000004">
      <c r="J29" s="68"/>
    </row>
  </sheetData>
  <mergeCells count="17">
    <mergeCell ref="A26:B26"/>
    <mergeCell ref="A27:B27"/>
    <mergeCell ref="A3:J3"/>
    <mergeCell ref="C6:D7"/>
    <mergeCell ref="E6:F7"/>
    <mergeCell ref="G6:H7"/>
    <mergeCell ref="I6:J7"/>
    <mergeCell ref="A9:J9"/>
    <mergeCell ref="A17:B17"/>
    <mergeCell ref="A19:J19"/>
    <mergeCell ref="A18:B18"/>
    <mergeCell ref="A25:B25"/>
    <mergeCell ref="A2:J2"/>
    <mergeCell ref="A5:A8"/>
    <mergeCell ref="B5:B8"/>
    <mergeCell ref="C5:J5"/>
    <mergeCell ref="A24:B24"/>
  </mergeCells>
  <pageMargins left="0.70000000000000007" right="0.70000000000000007" top="0.75" bottom="0.75" header="0.30000000000000004" footer="0.30000000000000004"/>
  <pageSetup paperSize="9" orientation="portrait" r:id="rId1"/>
  <ignoredErrors>
    <ignoredError sqref="D26 H26" 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2:N27"/>
  <sheetViews>
    <sheetView workbookViewId="0">
      <selection activeCell="J25" sqref="J25"/>
    </sheetView>
  </sheetViews>
  <sheetFormatPr defaultRowHeight="15" x14ac:dyDescent="0.25"/>
  <cols>
    <col min="1" max="1" width="5" customWidth="1"/>
    <col min="2" max="2" width="27.28515625" customWidth="1"/>
    <col min="3" max="3" width="12" customWidth="1"/>
    <col min="4" max="4" width="9.140625" customWidth="1"/>
    <col min="5" max="5" width="9.7109375" customWidth="1"/>
    <col min="6" max="6" width="8.5703125" customWidth="1"/>
    <col min="7" max="7" width="12.28515625" customWidth="1"/>
    <col min="8" max="8" width="10.28515625" customWidth="1"/>
    <col min="9" max="9" width="11.140625" customWidth="1"/>
    <col min="10" max="10" width="10" customWidth="1"/>
  </cols>
  <sheetData>
    <row r="2" spans="1:14" ht="15.75" x14ac:dyDescent="0.25">
      <c r="A2" s="143" t="s">
        <v>57</v>
      </c>
      <c r="B2" s="143"/>
      <c r="C2" s="143"/>
      <c r="D2" s="143"/>
      <c r="E2" s="143"/>
      <c r="F2" s="143"/>
      <c r="G2" s="143"/>
      <c r="H2" s="143"/>
      <c r="I2" s="143"/>
      <c r="J2" s="143"/>
      <c r="K2" s="22"/>
      <c r="L2" s="22"/>
      <c r="M2" s="22"/>
      <c r="N2" s="22"/>
    </row>
    <row r="3" spans="1:14" ht="15.75" x14ac:dyDescent="0.25">
      <c r="A3" s="143" t="s">
        <v>98</v>
      </c>
      <c r="B3" s="143"/>
      <c r="C3" s="143"/>
      <c r="D3" s="143"/>
      <c r="E3" s="143"/>
      <c r="F3" s="143"/>
      <c r="G3" s="143"/>
      <c r="H3" s="143"/>
      <c r="I3" s="143"/>
      <c r="J3" s="143"/>
    </row>
    <row r="4" spans="1:14" ht="15.75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</row>
    <row r="5" spans="1:14" ht="15.95" customHeight="1" x14ac:dyDescent="0.25">
      <c r="A5" s="117" t="s">
        <v>0</v>
      </c>
      <c r="B5" s="117" t="s">
        <v>1</v>
      </c>
      <c r="C5" s="130" t="s">
        <v>55</v>
      </c>
      <c r="D5" s="144"/>
      <c r="E5" s="144"/>
      <c r="F5" s="131"/>
      <c r="G5" s="130" t="s">
        <v>56</v>
      </c>
      <c r="H5" s="144"/>
      <c r="I5" s="144"/>
      <c r="J5" s="131"/>
    </row>
    <row r="6" spans="1:14" ht="34.5" customHeight="1" x14ac:dyDescent="0.25">
      <c r="A6" s="117"/>
      <c r="B6" s="117"/>
      <c r="C6" s="20" t="s">
        <v>47</v>
      </c>
      <c r="D6" s="20" t="s">
        <v>3</v>
      </c>
      <c r="E6" s="20" t="s">
        <v>45</v>
      </c>
      <c r="F6" s="20" t="s">
        <v>46</v>
      </c>
      <c r="G6" s="20" t="s">
        <v>47</v>
      </c>
      <c r="H6" s="20" t="s">
        <v>3</v>
      </c>
      <c r="I6" s="20" t="s">
        <v>45</v>
      </c>
      <c r="J6" s="20" t="s">
        <v>46</v>
      </c>
    </row>
    <row r="7" spans="1:14" ht="15.95" customHeight="1" x14ac:dyDescent="0.25">
      <c r="A7" s="23" t="s">
        <v>7</v>
      </c>
      <c r="B7" s="23"/>
      <c r="C7" s="23"/>
      <c r="D7" s="23"/>
      <c r="E7" s="23"/>
      <c r="F7" s="23"/>
      <c r="G7" s="23"/>
      <c r="H7" s="23"/>
      <c r="I7" s="23"/>
      <c r="J7" s="23"/>
    </row>
    <row r="8" spans="1:14" ht="15.95" customHeight="1" x14ac:dyDescent="0.25">
      <c r="A8" s="14" t="s">
        <v>8</v>
      </c>
      <c r="B8" s="17" t="s">
        <v>9</v>
      </c>
      <c r="C8" s="77">
        <v>304701</v>
      </c>
      <c r="D8" s="77">
        <v>83968</v>
      </c>
      <c r="E8" s="77">
        <f>201834+18899</f>
        <v>220733</v>
      </c>
      <c r="F8" s="77" t="s">
        <v>11</v>
      </c>
      <c r="G8" s="15">
        <v>236287</v>
      </c>
      <c r="H8" s="15">
        <v>85407</v>
      </c>
      <c r="I8" s="15">
        <f>148015+2865</f>
        <v>150880</v>
      </c>
      <c r="J8" s="15" t="s">
        <v>11</v>
      </c>
    </row>
    <row r="9" spans="1:14" ht="15.95" customHeight="1" x14ac:dyDescent="0.25">
      <c r="A9" s="14" t="s">
        <v>12</v>
      </c>
      <c r="B9" s="17" t="s">
        <v>13</v>
      </c>
      <c r="C9" s="77">
        <v>158198</v>
      </c>
      <c r="D9" s="77">
        <v>30964</v>
      </c>
      <c r="E9" s="77">
        <v>11405</v>
      </c>
      <c r="F9" s="77">
        <v>115829</v>
      </c>
      <c r="G9" s="15">
        <v>53179</v>
      </c>
      <c r="H9" s="15">
        <v>453</v>
      </c>
      <c r="I9" s="15">
        <v>4562</v>
      </c>
      <c r="J9" s="15">
        <v>48164</v>
      </c>
    </row>
    <row r="10" spans="1:14" ht="15.95" customHeight="1" x14ac:dyDescent="0.25">
      <c r="A10" s="14" t="s">
        <v>14</v>
      </c>
      <c r="B10" s="17" t="s">
        <v>15</v>
      </c>
      <c r="C10" s="77">
        <v>110658</v>
      </c>
      <c r="D10" s="77">
        <v>35996</v>
      </c>
      <c r="E10" s="77">
        <v>12100</v>
      </c>
      <c r="F10" s="77">
        <v>62562</v>
      </c>
      <c r="G10" s="15">
        <v>32511</v>
      </c>
      <c r="H10" s="15">
        <v>12361</v>
      </c>
      <c r="I10" s="15">
        <v>4468</v>
      </c>
      <c r="J10" s="15">
        <v>15682</v>
      </c>
    </row>
    <row r="11" spans="1:14" ht="15.95" customHeight="1" x14ac:dyDescent="0.25">
      <c r="A11" s="14" t="s">
        <v>16</v>
      </c>
      <c r="B11" s="17" t="s">
        <v>17</v>
      </c>
      <c r="C11" s="77">
        <v>13687</v>
      </c>
      <c r="D11" s="77">
        <v>5658</v>
      </c>
      <c r="E11" s="77">
        <v>8029</v>
      </c>
      <c r="F11" s="77" t="s">
        <v>11</v>
      </c>
      <c r="G11" s="15">
        <v>6061</v>
      </c>
      <c r="H11" s="15">
        <v>1728</v>
      </c>
      <c r="I11" s="15">
        <v>4333</v>
      </c>
      <c r="J11" s="15" t="s">
        <v>11</v>
      </c>
    </row>
    <row r="12" spans="1:14" ht="15.95" customHeight="1" x14ac:dyDescent="0.25">
      <c r="A12" s="14" t="s">
        <v>18</v>
      </c>
      <c r="B12" s="17" t="s">
        <v>19</v>
      </c>
      <c r="C12" s="77">
        <v>68955</v>
      </c>
      <c r="D12" s="77">
        <v>68955</v>
      </c>
      <c r="E12" s="77" t="s">
        <v>11</v>
      </c>
      <c r="F12" s="77" t="s">
        <v>11</v>
      </c>
      <c r="G12" s="15">
        <v>55495</v>
      </c>
      <c r="H12" s="15">
        <v>55495</v>
      </c>
      <c r="I12" s="15" t="s">
        <v>11</v>
      </c>
      <c r="J12" s="15" t="s">
        <v>11</v>
      </c>
    </row>
    <row r="13" spans="1:14" ht="15.95" customHeight="1" x14ac:dyDescent="0.25">
      <c r="A13" s="14" t="s">
        <v>20</v>
      </c>
      <c r="B13" s="17" t="s">
        <v>21</v>
      </c>
      <c r="C13" s="77">
        <v>58526</v>
      </c>
      <c r="D13" s="77">
        <v>13589</v>
      </c>
      <c r="E13" s="77">
        <v>2648</v>
      </c>
      <c r="F13" s="77">
        <v>42289</v>
      </c>
      <c r="G13" s="15">
        <v>47055</v>
      </c>
      <c r="H13" s="15">
        <v>17058</v>
      </c>
      <c r="I13" s="15">
        <v>3621</v>
      </c>
      <c r="J13" s="15">
        <v>26376</v>
      </c>
    </row>
    <row r="14" spans="1:14" ht="15.95" customHeight="1" x14ac:dyDescent="0.25">
      <c r="A14" s="14" t="s">
        <v>22</v>
      </c>
      <c r="B14" s="17" t="s">
        <v>23</v>
      </c>
      <c r="C14" s="77">
        <v>110457</v>
      </c>
      <c r="D14" s="77">
        <v>27794</v>
      </c>
      <c r="E14" s="77" t="s">
        <v>11</v>
      </c>
      <c r="F14" s="77">
        <v>82663</v>
      </c>
      <c r="G14" s="15">
        <v>43673</v>
      </c>
      <c r="H14" s="15">
        <v>12076</v>
      </c>
      <c r="I14" s="15" t="s">
        <v>11</v>
      </c>
      <c r="J14" s="15">
        <v>31597</v>
      </c>
    </row>
    <row r="15" spans="1:14" ht="15.95" customHeight="1" x14ac:dyDescent="0.25">
      <c r="A15" s="164" t="s">
        <v>30</v>
      </c>
      <c r="B15" s="164"/>
      <c r="C15" s="19">
        <f t="shared" ref="C15:J15" si="0">SUM(C8:C14)</f>
        <v>825182</v>
      </c>
      <c r="D15" s="19">
        <f t="shared" si="0"/>
        <v>266924</v>
      </c>
      <c r="E15" s="19">
        <f t="shared" si="0"/>
        <v>254915</v>
      </c>
      <c r="F15" s="19">
        <f t="shared" si="0"/>
        <v>303343</v>
      </c>
      <c r="G15" s="51">
        <f t="shared" si="0"/>
        <v>474261</v>
      </c>
      <c r="H15" s="51">
        <f t="shared" si="0"/>
        <v>184578</v>
      </c>
      <c r="I15" s="51">
        <f t="shared" si="0"/>
        <v>167864</v>
      </c>
      <c r="J15" s="51">
        <f t="shared" si="0"/>
        <v>121819</v>
      </c>
    </row>
    <row r="16" spans="1:14" ht="15.95" customHeight="1" x14ac:dyDescent="0.25">
      <c r="A16" s="114" t="s">
        <v>32</v>
      </c>
      <c r="B16" s="115"/>
      <c r="C16" s="37">
        <f>C15/105</f>
        <v>7858.8761904761905</v>
      </c>
      <c r="D16" s="37">
        <f>D15/7</f>
        <v>38132</v>
      </c>
      <c r="E16" s="37">
        <f>E15/16</f>
        <v>15932.1875</v>
      </c>
      <c r="F16" s="37">
        <f>F15/74</f>
        <v>4099.22972972973</v>
      </c>
      <c r="G16" s="37">
        <f>G15/105</f>
        <v>4516.7714285714283</v>
      </c>
      <c r="H16" s="37">
        <f>H15/7</f>
        <v>26368.285714285714</v>
      </c>
      <c r="I16" s="37">
        <f>I15/16</f>
        <v>10491.5</v>
      </c>
      <c r="J16" s="37">
        <f>J15/74</f>
        <v>1646.2027027027027</v>
      </c>
    </row>
    <row r="17" spans="1:10" ht="15.95" customHeight="1" x14ac:dyDescent="0.25">
      <c r="A17" s="163" t="s">
        <v>24</v>
      </c>
      <c r="B17" s="163"/>
      <c r="C17" s="163"/>
      <c r="D17" s="163"/>
      <c r="E17" s="163"/>
      <c r="F17" s="163"/>
      <c r="G17" s="163"/>
      <c r="H17" s="163"/>
      <c r="I17" s="163"/>
      <c r="J17" s="163"/>
    </row>
    <row r="18" spans="1:10" ht="15.95" customHeight="1" x14ac:dyDescent="0.25">
      <c r="A18" s="14" t="s">
        <v>8</v>
      </c>
      <c r="B18" s="17" t="s">
        <v>25</v>
      </c>
      <c r="C18" s="77">
        <v>96063</v>
      </c>
      <c r="D18" s="77">
        <v>23617</v>
      </c>
      <c r="E18" s="77">
        <v>3542</v>
      </c>
      <c r="F18" s="77">
        <v>68904</v>
      </c>
      <c r="G18" s="15">
        <v>18734</v>
      </c>
      <c r="H18" s="15">
        <v>6272</v>
      </c>
      <c r="I18" s="15">
        <v>674</v>
      </c>
      <c r="J18" s="15">
        <v>11788</v>
      </c>
    </row>
    <row r="19" spans="1:10" ht="15.95" customHeight="1" x14ac:dyDescent="0.25">
      <c r="A19" s="14" t="s">
        <v>12</v>
      </c>
      <c r="B19" s="17" t="s">
        <v>26</v>
      </c>
      <c r="C19" s="77">
        <v>25764</v>
      </c>
      <c r="D19" s="77">
        <v>5358</v>
      </c>
      <c r="E19" s="77" t="s">
        <v>11</v>
      </c>
      <c r="F19" s="77">
        <v>20406</v>
      </c>
      <c r="G19" s="15">
        <v>6474</v>
      </c>
      <c r="H19" s="15">
        <v>1100</v>
      </c>
      <c r="I19" s="15" t="s">
        <v>11</v>
      </c>
      <c r="J19" s="15">
        <v>5374</v>
      </c>
    </row>
    <row r="20" spans="1:10" ht="15.95" customHeight="1" x14ac:dyDescent="0.25">
      <c r="A20" s="14" t="s">
        <v>14</v>
      </c>
      <c r="B20" s="17" t="s">
        <v>27</v>
      </c>
      <c r="C20" s="77">
        <v>58156</v>
      </c>
      <c r="D20" s="77">
        <v>17118</v>
      </c>
      <c r="E20" s="77" t="s">
        <v>11</v>
      </c>
      <c r="F20" s="77">
        <v>41038</v>
      </c>
      <c r="G20" s="15">
        <v>42472</v>
      </c>
      <c r="H20" s="15">
        <v>18617</v>
      </c>
      <c r="I20" s="15" t="s">
        <v>11</v>
      </c>
      <c r="J20" s="15">
        <v>23855</v>
      </c>
    </row>
    <row r="21" spans="1:10" ht="15.95" customHeight="1" x14ac:dyDescent="0.25">
      <c r="A21" s="14" t="s">
        <v>16</v>
      </c>
      <c r="B21" s="17" t="s">
        <v>28</v>
      </c>
      <c r="C21" s="77">
        <v>113932</v>
      </c>
      <c r="D21" s="77">
        <v>51094</v>
      </c>
      <c r="E21" s="77">
        <v>6521</v>
      </c>
      <c r="F21" s="77">
        <v>56317</v>
      </c>
      <c r="G21" s="15">
        <v>23063</v>
      </c>
      <c r="H21" s="15">
        <v>6746</v>
      </c>
      <c r="I21" s="15">
        <v>1660</v>
      </c>
      <c r="J21" s="15">
        <v>14657</v>
      </c>
    </row>
    <row r="22" spans="1:10" ht="15.95" customHeight="1" x14ac:dyDescent="0.25">
      <c r="A22" s="164" t="s">
        <v>30</v>
      </c>
      <c r="B22" s="164"/>
      <c r="C22" s="19">
        <f t="shared" ref="C22:J22" si="1">SUM(C18:C21)</f>
        <v>293915</v>
      </c>
      <c r="D22" s="19">
        <f t="shared" si="1"/>
        <v>97187</v>
      </c>
      <c r="E22" s="19">
        <f t="shared" si="1"/>
        <v>10063</v>
      </c>
      <c r="F22" s="19">
        <f t="shared" si="1"/>
        <v>186665</v>
      </c>
      <c r="G22" s="51">
        <f t="shared" si="1"/>
        <v>90743</v>
      </c>
      <c r="H22" s="51">
        <f t="shared" si="1"/>
        <v>32735</v>
      </c>
      <c r="I22" s="51">
        <f t="shared" si="1"/>
        <v>2334</v>
      </c>
      <c r="J22" s="51">
        <f t="shared" si="1"/>
        <v>55674</v>
      </c>
    </row>
    <row r="23" spans="1:10" ht="15.95" customHeight="1" x14ac:dyDescent="0.25">
      <c r="A23" s="114" t="s">
        <v>32</v>
      </c>
      <c r="B23" s="115"/>
      <c r="C23" s="37">
        <f>C22/87</f>
        <v>3378.3333333333335</v>
      </c>
      <c r="D23" s="37">
        <f>D22/4</f>
        <v>24296.75</v>
      </c>
      <c r="E23" s="37">
        <f>E22/3</f>
        <v>3354.3333333333335</v>
      </c>
      <c r="F23" s="37">
        <f>F22/78</f>
        <v>2393.1410256410259</v>
      </c>
      <c r="G23" s="37">
        <f>G22/87</f>
        <v>1043.0229885057472</v>
      </c>
      <c r="H23" s="37">
        <f>H22/4</f>
        <v>8183.75</v>
      </c>
      <c r="I23" s="37">
        <f>I22/3</f>
        <v>778</v>
      </c>
      <c r="J23" s="37">
        <f>J22/78</f>
        <v>713.76923076923072</v>
      </c>
    </row>
    <row r="24" spans="1:10" ht="29.25" customHeight="1" x14ac:dyDescent="0.25">
      <c r="A24" s="165" t="s">
        <v>29</v>
      </c>
      <c r="B24" s="165"/>
      <c r="C24" s="48">
        <f t="shared" ref="C24:J24" si="2">SUM(C15,C22)</f>
        <v>1119097</v>
      </c>
      <c r="D24" s="48">
        <f t="shared" si="2"/>
        <v>364111</v>
      </c>
      <c r="E24" s="48">
        <f t="shared" si="2"/>
        <v>264978</v>
      </c>
      <c r="F24" s="48">
        <f t="shared" si="2"/>
        <v>490008</v>
      </c>
      <c r="G24" s="47">
        <f t="shared" si="2"/>
        <v>565004</v>
      </c>
      <c r="H24" s="47">
        <f t="shared" si="2"/>
        <v>217313</v>
      </c>
      <c r="I24" s="47">
        <f t="shared" si="2"/>
        <v>170198</v>
      </c>
      <c r="J24" s="47">
        <f t="shared" si="2"/>
        <v>177493</v>
      </c>
    </row>
    <row r="25" spans="1:10" ht="32.25" customHeight="1" x14ac:dyDescent="0.25">
      <c r="A25" s="165" t="s">
        <v>31</v>
      </c>
      <c r="B25" s="165"/>
      <c r="C25" s="58">
        <f>C24/192</f>
        <v>5828.630208333333</v>
      </c>
      <c r="D25" s="58">
        <f>D24/11</f>
        <v>33101</v>
      </c>
      <c r="E25" s="58">
        <f>E24/19</f>
        <v>13946.21052631579</v>
      </c>
      <c r="F25" s="58">
        <f>F24/152</f>
        <v>3223.7368421052633</v>
      </c>
      <c r="G25" s="58">
        <f>G24/192</f>
        <v>2942.7291666666665</v>
      </c>
      <c r="H25" s="58">
        <f>H24/11</f>
        <v>19755.727272727272</v>
      </c>
      <c r="I25" s="58">
        <f>I24/19</f>
        <v>8957.78947368421</v>
      </c>
      <c r="J25" s="58">
        <f>J24/152</f>
        <v>1167.7171052631579</v>
      </c>
    </row>
    <row r="27" spans="1:10" x14ac:dyDescent="0.25">
      <c r="I27" s="69"/>
    </row>
  </sheetData>
  <mergeCells count="13">
    <mergeCell ref="A3:J3"/>
    <mergeCell ref="A2:J2"/>
    <mergeCell ref="A15:B15"/>
    <mergeCell ref="A17:J17"/>
    <mergeCell ref="A22:B22"/>
    <mergeCell ref="G5:J5"/>
    <mergeCell ref="A16:B16"/>
    <mergeCell ref="A24:B24"/>
    <mergeCell ref="A25:B25"/>
    <mergeCell ref="A5:A6"/>
    <mergeCell ref="B5:B6"/>
    <mergeCell ref="C5:F5"/>
    <mergeCell ref="A23:B23"/>
  </mergeCells>
  <pageMargins left="0.70000000000000007" right="0.70000000000000007" top="0.75" bottom="0.75" header="0.30000000000000004" footer="0.30000000000000004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/>
  </sheetPr>
  <dimension ref="A2:N25"/>
  <sheetViews>
    <sheetView workbookViewId="0">
      <selection activeCell="J25" sqref="J25"/>
    </sheetView>
  </sheetViews>
  <sheetFormatPr defaultRowHeight="15" x14ac:dyDescent="0.25"/>
  <cols>
    <col min="1" max="1" width="5.28515625" customWidth="1"/>
    <col min="2" max="2" width="27.42578125" customWidth="1"/>
    <col min="3" max="3" width="12" customWidth="1"/>
    <col min="4" max="4" width="8.5703125" customWidth="1"/>
    <col min="5" max="5" width="9" customWidth="1"/>
    <col min="6" max="6" width="8" customWidth="1"/>
    <col min="7" max="7" width="12.140625" customWidth="1"/>
    <col min="8" max="8" width="8.42578125" customWidth="1"/>
    <col min="9" max="9" width="8.140625" customWidth="1"/>
    <col min="10" max="10" width="7.85546875" customWidth="1"/>
  </cols>
  <sheetData>
    <row r="2" spans="1:12" ht="15.75" x14ac:dyDescent="0.25">
      <c r="A2" s="143" t="s">
        <v>58</v>
      </c>
      <c r="B2" s="143"/>
      <c r="C2" s="143"/>
      <c r="D2" s="143"/>
      <c r="E2" s="143"/>
      <c r="F2" s="143"/>
      <c r="G2" s="143"/>
      <c r="H2" s="143"/>
      <c r="I2" s="143"/>
      <c r="J2" s="143"/>
      <c r="K2" s="22"/>
      <c r="L2" s="22"/>
    </row>
    <row r="3" spans="1:12" ht="15.75" x14ac:dyDescent="0.25">
      <c r="A3" s="143" t="s">
        <v>99</v>
      </c>
      <c r="B3" s="143"/>
      <c r="C3" s="143"/>
      <c r="D3" s="143"/>
      <c r="E3" s="143"/>
      <c r="F3" s="143"/>
      <c r="G3" s="143"/>
      <c r="H3" s="143"/>
      <c r="I3" s="143"/>
      <c r="J3" s="143"/>
      <c r="K3" s="31"/>
      <c r="L3" s="31"/>
    </row>
    <row r="4" spans="1:12" ht="15.75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</row>
    <row r="5" spans="1:12" ht="15.95" customHeight="1" x14ac:dyDescent="0.25">
      <c r="A5" s="117" t="s">
        <v>0</v>
      </c>
      <c r="B5" s="117" t="s">
        <v>1</v>
      </c>
      <c r="C5" s="130" t="s">
        <v>59</v>
      </c>
      <c r="D5" s="144"/>
      <c r="E5" s="144"/>
      <c r="F5" s="131"/>
      <c r="G5" s="130" t="s">
        <v>60</v>
      </c>
      <c r="H5" s="144"/>
      <c r="I5" s="144"/>
      <c r="J5" s="131"/>
    </row>
    <row r="6" spans="1:12" ht="30.75" customHeight="1" x14ac:dyDescent="0.25">
      <c r="A6" s="117"/>
      <c r="B6" s="117"/>
      <c r="C6" s="20" t="s">
        <v>47</v>
      </c>
      <c r="D6" s="20" t="s">
        <v>3</v>
      </c>
      <c r="E6" s="20" t="s">
        <v>45</v>
      </c>
      <c r="F6" s="20" t="s">
        <v>46</v>
      </c>
      <c r="G6" s="20" t="s">
        <v>47</v>
      </c>
      <c r="H6" s="20" t="s">
        <v>3</v>
      </c>
      <c r="I6" s="20" t="s">
        <v>45</v>
      </c>
      <c r="J6" s="20" t="s">
        <v>46</v>
      </c>
    </row>
    <row r="7" spans="1:12" ht="15.95" customHeight="1" x14ac:dyDescent="0.25">
      <c r="A7" s="23" t="s">
        <v>7</v>
      </c>
      <c r="B7" s="24"/>
      <c r="C7" s="25"/>
      <c r="D7" s="25"/>
      <c r="E7" s="25"/>
      <c r="F7" s="25"/>
      <c r="G7" s="25"/>
      <c r="H7" s="25"/>
      <c r="I7" s="25"/>
      <c r="J7" s="26"/>
    </row>
    <row r="8" spans="1:12" ht="15.95" customHeight="1" x14ac:dyDescent="0.25">
      <c r="A8" s="14" t="s">
        <v>8</v>
      </c>
      <c r="B8" s="17" t="s">
        <v>9</v>
      </c>
      <c r="C8" s="75">
        <f>540988/14928</f>
        <v>36.239817792068592</v>
      </c>
      <c r="D8" s="75">
        <f>169375/3548</f>
        <v>47.738162344983088</v>
      </c>
      <c r="E8" s="75">
        <f>371613/11380</f>
        <v>32.654920913884006</v>
      </c>
      <c r="F8" s="75" t="s">
        <v>11</v>
      </c>
      <c r="G8" s="75">
        <f>325399/14928</f>
        <v>21.797896570203644</v>
      </c>
      <c r="H8" s="75">
        <f>96667/3548</f>
        <v>27.245490417136416</v>
      </c>
      <c r="I8" s="75">
        <f>228732/11380</f>
        <v>20.099472759226714</v>
      </c>
      <c r="J8" s="75" t="s">
        <v>11</v>
      </c>
    </row>
    <row r="9" spans="1:12" ht="15.95" customHeight="1" x14ac:dyDescent="0.25">
      <c r="A9" s="14" t="s">
        <v>12</v>
      </c>
      <c r="B9" s="17" t="s">
        <v>13</v>
      </c>
      <c r="C9" s="75">
        <f>211377/10394</f>
        <v>20.336444102366752</v>
      </c>
      <c r="D9" s="75">
        <f>31417/2880</f>
        <v>10.908680555555556</v>
      </c>
      <c r="E9" s="75">
        <f>15967/657</f>
        <v>24.302891933028921</v>
      </c>
      <c r="F9" s="75">
        <f>163993/6857</f>
        <v>23.91614408633513</v>
      </c>
      <c r="G9" s="75">
        <f>160905/10394</f>
        <v>15.480565710987108</v>
      </c>
      <c r="H9" s="75">
        <f>34864/2880</f>
        <v>12.105555555555556</v>
      </c>
      <c r="I9" s="75">
        <f>9392/657</f>
        <v>14.295281582952816</v>
      </c>
      <c r="J9" s="75">
        <f>116649/6857</f>
        <v>17.011666909727285</v>
      </c>
    </row>
    <row r="10" spans="1:12" ht="15.95" customHeight="1" x14ac:dyDescent="0.25">
      <c r="A10" s="14" t="s">
        <v>14</v>
      </c>
      <c r="B10" s="17" t="s">
        <v>15</v>
      </c>
      <c r="C10" s="75">
        <f>143169/5647</f>
        <v>25.353107844873385</v>
      </c>
      <c r="D10" s="75">
        <f>48357/3571</f>
        <v>13.541584990198825</v>
      </c>
      <c r="E10" s="77">
        <f>16568/306</f>
        <v>54.143790849673202</v>
      </c>
      <c r="F10" s="77">
        <f>78244/1770</f>
        <v>44.205649717514127</v>
      </c>
      <c r="G10" s="75">
        <f>185719/5647</f>
        <v>32.888082167522576</v>
      </c>
      <c r="H10" s="75">
        <f>119647/3571</f>
        <v>33.505180621674604</v>
      </c>
      <c r="I10" s="77">
        <f>6983/306</f>
        <v>22.820261437908496</v>
      </c>
      <c r="J10" s="77">
        <f>59089/1770</f>
        <v>33.383615819209041</v>
      </c>
    </row>
    <row r="11" spans="1:12" ht="15.95" customHeight="1" x14ac:dyDescent="0.25">
      <c r="A11" s="14" t="s">
        <v>16</v>
      </c>
      <c r="B11" s="17" t="s">
        <v>17</v>
      </c>
      <c r="C11" s="75">
        <f>19748/1407</f>
        <v>14.035536602700782</v>
      </c>
      <c r="D11" s="75">
        <f>7386/738</f>
        <v>10.008130081300813</v>
      </c>
      <c r="E11" s="75">
        <f>12362/669</f>
        <v>18.478325859491779</v>
      </c>
      <c r="F11" s="75" t="s">
        <v>11</v>
      </c>
      <c r="G11" s="75">
        <f>16085/1407</f>
        <v>11.432125088841508</v>
      </c>
      <c r="H11" s="75">
        <f>6660/738</f>
        <v>9.0243902439024382</v>
      </c>
      <c r="I11" s="75">
        <f>9425/669</f>
        <v>14.088191330343797</v>
      </c>
      <c r="J11" s="75" t="s">
        <v>11</v>
      </c>
    </row>
    <row r="12" spans="1:12" ht="15.95" customHeight="1" x14ac:dyDescent="0.25">
      <c r="A12" s="14" t="s">
        <v>18</v>
      </c>
      <c r="B12" s="17" t="s">
        <v>19</v>
      </c>
      <c r="C12" s="75">
        <f>124450/4968</f>
        <v>25.050322061191626</v>
      </c>
      <c r="D12" s="75">
        <f>124450/4968</f>
        <v>25.050322061191626</v>
      </c>
      <c r="E12" s="75" t="s">
        <v>11</v>
      </c>
      <c r="F12" s="75" t="s">
        <v>11</v>
      </c>
      <c r="G12" s="75">
        <f>70282/4968</f>
        <v>14.146940418679549</v>
      </c>
      <c r="H12" s="75">
        <f>70282/4968</f>
        <v>14.146940418679549</v>
      </c>
      <c r="I12" s="75" t="s">
        <v>11</v>
      </c>
      <c r="J12" s="75" t="s">
        <v>11</v>
      </c>
    </row>
    <row r="13" spans="1:12" ht="15.95" customHeight="1" x14ac:dyDescent="0.25">
      <c r="A13" s="14" t="s">
        <v>20</v>
      </c>
      <c r="B13" s="17" t="s">
        <v>21</v>
      </c>
      <c r="C13" s="75">
        <f>105581/2197</f>
        <v>48.056895766954938</v>
      </c>
      <c r="D13" s="75">
        <f>30647/876</f>
        <v>34.985159817351601</v>
      </c>
      <c r="E13" s="75">
        <f>6269/80</f>
        <v>78.362499999999997</v>
      </c>
      <c r="F13" s="75">
        <f>68665/1241</f>
        <v>55.330378726833196</v>
      </c>
      <c r="G13" s="75">
        <f>54478/2197</f>
        <v>24.796540737369138</v>
      </c>
      <c r="H13" s="75">
        <f>20687/876</f>
        <v>23.615296803652967</v>
      </c>
      <c r="I13" s="75">
        <f>3316/80</f>
        <v>41.45</v>
      </c>
      <c r="J13" s="75">
        <f>30475/1241</f>
        <v>24.556809024979856</v>
      </c>
    </row>
    <row r="14" spans="1:12" ht="15.95" customHeight="1" x14ac:dyDescent="0.25">
      <c r="A14" s="14" t="s">
        <v>22</v>
      </c>
      <c r="B14" s="17" t="s">
        <v>23</v>
      </c>
      <c r="C14" s="75">
        <f>154130/5902</f>
        <v>26.114876313114198</v>
      </c>
      <c r="D14" s="75">
        <f>39870/1642</f>
        <v>24.28136419001218</v>
      </c>
      <c r="E14" s="75" t="s">
        <v>11</v>
      </c>
      <c r="F14" s="77">
        <f>114260/4260</f>
        <v>26.821596244131456</v>
      </c>
      <c r="G14" s="75">
        <f>147341/5902</f>
        <v>24.964588275160963</v>
      </c>
      <c r="H14" s="75">
        <f>45671/1642</f>
        <v>27.814250913520098</v>
      </c>
      <c r="I14" s="75" t="s">
        <v>11</v>
      </c>
      <c r="J14" s="77">
        <f>101670/4260</f>
        <v>23.866197183098592</v>
      </c>
    </row>
    <row r="15" spans="1:12" ht="15.95" customHeight="1" x14ac:dyDescent="0.25">
      <c r="A15" s="164" t="s">
        <v>30</v>
      </c>
      <c r="B15" s="164"/>
      <c r="C15" s="37">
        <f t="shared" ref="C15:J15" si="0">SUM(C8:C14)</f>
        <v>195.18700048327028</v>
      </c>
      <c r="D15" s="37">
        <f t="shared" si="0"/>
        <v>166.51340404059366</v>
      </c>
      <c r="E15" s="37">
        <f t="shared" si="0"/>
        <v>207.94242955607791</v>
      </c>
      <c r="F15" s="37">
        <f t="shared" si="0"/>
        <v>150.2737687748139</v>
      </c>
      <c r="G15" s="37">
        <f t="shared" si="0"/>
        <v>145.50673896876447</v>
      </c>
      <c r="H15" s="37">
        <f t="shared" si="0"/>
        <v>147.45710497412165</v>
      </c>
      <c r="I15" s="37">
        <f t="shared" si="0"/>
        <v>112.75320711043183</v>
      </c>
      <c r="J15" s="37">
        <f t="shared" si="0"/>
        <v>98.818288937014771</v>
      </c>
    </row>
    <row r="16" spans="1:12" ht="15.95" customHeight="1" x14ac:dyDescent="0.25">
      <c r="A16" s="114" t="s">
        <v>32</v>
      </c>
      <c r="B16" s="115"/>
      <c r="C16" s="37">
        <f>C15/7</f>
        <v>27.883857211895755</v>
      </c>
      <c r="D16" s="37">
        <f>D15/7</f>
        <v>23.787629148656237</v>
      </c>
      <c r="E16" s="37">
        <f>E15/5</f>
        <v>41.588485911215585</v>
      </c>
      <c r="F16" s="37">
        <f>F15/4</f>
        <v>37.568442193703476</v>
      </c>
      <c r="G16" s="37">
        <f>G15/7</f>
        <v>20.786676995537782</v>
      </c>
      <c r="H16" s="37">
        <f>H15/7</f>
        <v>21.065300710588808</v>
      </c>
      <c r="I16" s="37">
        <f>I15/5</f>
        <v>22.550641422086365</v>
      </c>
      <c r="J16" s="37">
        <f>J15/4</f>
        <v>24.704572234253693</v>
      </c>
    </row>
    <row r="17" spans="1:14" ht="15.95" customHeight="1" x14ac:dyDescent="0.25">
      <c r="A17" s="163" t="s">
        <v>24</v>
      </c>
      <c r="B17" s="163"/>
      <c r="C17" s="163"/>
      <c r="D17" s="163"/>
      <c r="E17" s="163"/>
      <c r="F17" s="163"/>
      <c r="G17" s="163"/>
      <c r="H17" s="163"/>
      <c r="I17" s="163"/>
      <c r="J17" s="163"/>
    </row>
    <row r="18" spans="1:14" ht="15.95" customHeight="1" x14ac:dyDescent="0.25">
      <c r="A18" s="14" t="s">
        <v>8</v>
      </c>
      <c r="B18" s="17" t="s">
        <v>25</v>
      </c>
      <c r="C18" s="75">
        <f>114797/3863</f>
        <v>29.717059280352057</v>
      </c>
      <c r="D18" s="75">
        <f>29889/1591</f>
        <v>18.786297925832809</v>
      </c>
      <c r="E18" s="75">
        <f>4216/121</f>
        <v>34.84297520661157</v>
      </c>
      <c r="F18" s="75">
        <f>80692/2151</f>
        <v>37.513714551371457</v>
      </c>
      <c r="G18" s="75">
        <f>86433/3863</f>
        <v>22.374579342479937</v>
      </c>
      <c r="H18" s="75">
        <f>25585/1591</f>
        <v>16.081081081081081</v>
      </c>
      <c r="I18" s="75">
        <f>3340/121</f>
        <v>27.603305785123968</v>
      </c>
      <c r="J18" s="75">
        <f>57508/2151</f>
        <v>26.735471873547187</v>
      </c>
      <c r="M18" s="34"/>
      <c r="N18" s="34"/>
    </row>
    <row r="19" spans="1:14" ht="15.95" customHeight="1" x14ac:dyDescent="0.25">
      <c r="A19" s="14" t="s">
        <v>12</v>
      </c>
      <c r="B19" s="17" t="s">
        <v>26</v>
      </c>
      <c r="C19" s="75">
        <f>32238/1347</f>
        <v>23.933184855233854</v>
      </c>
      <c r="D19" s="77">
        <f>6458/286</f>
        <v>22.58041958041958</v>
      </c>
      <c r="E19" s="75" t="s">
        <v>11</v>
      </c>
      <c r="F19" s="75">
        <f>25780/1061</f>
        <v>24.297832233741754</v>
      </c>
      <c r="G19" s="75">
        <f>27854/1347</f>
        <v>20.678544914625093</v>
      </c>
      <c r="H19" s="77">
        <f>16440/286</f>
        <v>57.48251748251748</v>
      </c>
      <c r="I19" s="75" t="s">
        <v>11</v>
      </c>
      <c r="J19" s="75">
        <f>11414/1061</f>
        <v>10.757775683317625</v>
      </c>
    </row>
    <row r="20" spans="1:14" ht="15.95" customHeight="1" x14ac:dyDescent="0.25">
      <c r="A20" s="14" t="s">
        <v>14</v>
      </c>
      <c r="B20" s="17" t="s">
        <v>27</v>
      </c>
      <c r="C20" s="75">
        <f>100628/4251</f>
        <v>23.671606680780993</v>
      </c>
      <c r="D20" s="75">
        <f>35735/1368</f>
        <v>26.122076023391813</v>
      </c>
      <c r="E20" s="75" t="s">
        <v>11</v>
      </c>
      <c r="F20" s="75">
        <f>64893/2883</f>
        <v>22.508844953173778</v>
      </c>
      <c r="G20" s="75">
        <f>70176/4251</f>
        <v>16.508115737473535</v>
      </c>
      <c r="H20" s="75">
        <f>32943/1368</f>
        <v>24.081140350877192</v>
      </c>
      <c r="I20" s="75" t="s">
        <v>11</v>
      </c>
      <c r="J20" s="75">
        <f>37233/2883</f>
        <v>12.914672216441208</v>
      </c>
    </row>
    <row r="21" spans="1:14" ht="15.95" customHeight="1" x14ac:dyDescent="0.25">
      <c r="A21" s="14" t="s">
        <v>16</v>
      </c>
      <c r="B21" s="17" t="s">
        <v>28</v>
      </c>
      <c r="C21" s="75">
        <f>136995/6432</f>
        <v>21.298973880597014</v>
      </c>
      <c r="D21" s="75">
        <f>57840/6432</f>
        <v>8.9925373134328357</v>
      </c>
      <c r="E21" s="77">
        <v>0</v>
      </c>
      <c r="F21" s="77">
        <v>0</v>
      </c>
      <c r="G21" s="75">
        <f>121468/6432</f>
        <v>18.884950248756219</v>
      </c>
      <c r="H21" s="75">
        <f>38612/6432</f>
        <v>6.003109452736318</v>
      </c>
      <c r="I21" s="77">
        <v>0</v>
      </c>
      <c r="J21" s="77">
        <v>0</v>
      </c>
    </row>
    <row r="22" spans="1:14" ht="15.95" customHeight="1" x14ac:dyDescent="0.25">
      <c r="A22" s="164" t="s">
        <v>30</v>
      </c>
      <c r="B22" s="164"/>
      <c r="C22" s="37">
        <f t="shared" ref="C22:J22" si="1">SUM(C18:C21)</f>
        <v>98.620824696963922</v>
      </c>
      <c r="D22" s="37">
        <f t="shared" si="1"/>
        <v>76.481330843077032</v>
      </c>
      <c r="E22" s="37">
        <f t="shared" si="1"/>
        <v>34.84297520661157</v>
      </c>
      <c r="F22" s="37">
        <f t="shared" si="1"/>
        <v>84.320391738286986</v>
      </c>
      <c r="G22" s="37">
        <f t="shared" si="1"/>
        <v>78.446190243334769</v>
      </c>
      <c r="H22" s="37">
        <f t="shared" si="1"/>
        <v>103.64784836721208</v>
      </c>
      <c r="I22" s="37">
        <f t="shared" si="1"/>
        <v>27.603305785123968</v>
      </c>
      <c r="J22" s="37">
        <f t="shared" si="1"/>
        <v>50.40791977330602</v>
      </c>
    </row>
    <row r="23" spans="1:14" ht="15.95" customHeight="1" x14ac:dyDescent="0.25">
      <c r="A23" s="114" t="s">
        <v>32</v>
      </c>
      <c r="B23" s="115"/>
      <c r="C23" s="37">
        <f>C22/4</f>
        <v>24.65520617424098</v>
      </c>
      <c r="D23" s="37">
        <f>D22/4</f>
        <v>19.120332710769258</v>
      </c>
      <c r="E23" s="37">
        <f>E22/2</f>
        <v>17.421487603305785</v>
      </c>
      <c r="F23" s="37">
        <f>F22/4</f>
        <v>21.080097934571747</v>
      </c>
      <c r="G23" s="37">
        <f>G22/4</f>
        <v>19.611547560833692</v>
      </c>
      <c r="H23" s="37">
        <f>H22/4</f>
        <v>25.911962091803019</v>
      </c>
      <c r="I23" s="37">
        <f>I22/2</f>
        <v>13.801652892561984</v>
      </c>
      <c r="J23" s="37">
        <f>J22/4</f>
        <v>12.601979943326505</v>
      </c>
    </row>
    <row r="24" spans="1:14" ht="29.25" customHeight="1" x14ac:dyDescent="0.25">
      <c r="A24" s="165" t="s">
        <v>29</v>
      </c>
      <c r="B24" s="165"/>
      <c r="C24" s="58">
        <f t="shared" ref="C24:J24" si="2">SUM(C15,C22)</f>
        <v>293.8078251802342</v>
      </c>
      <c r="D24" s="58">
        <f t="shared" si="2"/>
        <v>242.99473488367067</v>
      </c>
      <c r="E24" s="58">
        <f t="shared" si="2"/>
        <v>242.7854047626895</v>
      </c>
      <c r="F24" s="58">
        <f t="shared" si="2"/>
        <v>234.59416051310089</v>
      </c>
      <c r="G24" s="58">
        <f t="shared" si="2"/>
        <v>223.95292921209924</v>
      </c>
      <c r="H24" s="58">
        <f t="shared" si="2"/>
        <v>251.10495334133373</v>
      </c>
      <c r="I24" s="58">
        <f t="shared" si="2"/>
        <v>140.3565128955558</v>
      </c>
      <c r="J24" s="58">
        <f t="shared" si="2"/>
        <v>149.2262087103208</v>
      </c>
    </row>
    <row r="25" spans="1:14" ht="33.75" customHeight="1" x14ac:dyDescent="0.25">
      <c r="A25" s="165" t="s">
        <v>31</v>
      </c>
      <c r="B25" s="165"/>
      <c r="C25" s="58">
        <f>C24/11</f>
        <v>26.709802289112201</v>
      </c>
      <c r="D25" s="58">
        <f>D24/11</f>
        <v>22.09043044397006</v>
      </c>
      <c r="E25" s="58">
        <f>E24/7</f>
        <v>34.683629251812782</v>
      </c>
      <c r="F25" s="58">
        <f>F24/8</f>
        <v>29.324270064137611</v>
      </c>
      <c r="G25" s="58">
        <f>G24/11</f>
        <v>20.359357201099929</v>
      </c>
      <c r="H25" s="58">
        <f>H24/11</f>
        <v>22.827723031030338</v>
      </c>
      <c r="I25" s="58">
        <f>I24/7</f>
        <v>20.050930413650828</v>
      </c>
      <c r="J25" s="58">
        <f>J24/8</f>
        <v>18.653276088790101</v>
      </c>
    </row>
  </sheetData>
  <mergeCells count="13">
    <mergeCell ref="A15:B15"/>
    <mergeCell ref="A17:J17"/>
    <mergeCell ref="A22:B22"/>
    <mergeCell ref="A24:B24"/>
    <mergeCell ref="A25:B25"/>
    <mergeCell ref="A16:B16"/>
    <mergeCell ref="A23:B23"/>
    <mergeCell ref="A5:A6"/>
    <mergeCell ref="B5:B6"/>
    <mergeCell ref="C5:F5"/>
    <mergeCell ref="G5:J5"/>
    <mergeCell ref="A2:J2"/>
    <mergeCell ref="A3:J3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/>
  </sheetPr>
  <dimension ref="A2:K25"/>
  <sheetViews>
    <sheetView workbookViewId="0">
      <selection activeCell="J25" sqref="J25"/>
    </sheetView>
  </sheetViews>
  <sheetFormatPr defaultRowHeight="15" x14ac:dyDescent="0.25"/>
  <cols>
    <col min="1" max="1" width="4.85546875" customWidth="1"/>
    <col min="2" max="2" width="27.85546875" customWidth="1"/>
    <col min="3" max="3" width="12.28515625" customWidth="1"/>
    <col min="4" max="4" width="9.140625" customWidth="1"/>
    <col min="5" max="5" width="9.42578125" customWidth="1"/>
    <col min="6" max="6" width="8.5703125" customWidth="1"/>
    <col min="7" max="7" width="12.28515625" customWidth="1"/>
    <col min="8" max="8" width="8.85546875" customWidth="1"/>
    <col min="9" max="9" width="8.5703125" customWidth="1"/>
    <col min="10" max="10" width="9.28515625" customWidth="1"/>
  </cols>
  <sheetData>
    <row r="2" spans="1:11" ht="15.75" x14ac:dyDescent="0.25">
      <c r="A2" s="143" t="s">
        <v>61</v>
      </c>
      <c r="B2" s="143"/>
      <c r="C2" s="143"/>
      <c r="D2" s="143"/>
      <c r="E2" s="143"/>
      <c r="F2" s="143"/>
      <c r="G2" s="143"/>
      <c r="H2" s="143"/>
      <c r="I2" s="143"/>
      <c r="J2" s="143"/>
      <c r="K2" s="22"/>
    </row>
    <row r="3" spans="1:11" ht="15.75" x14ac:dyDescent="0.25">
      <c r="A3" s="143" t="s">
        <v>99</v>
      </c>
      <c r="B3" s="143"/>
      <c r="C3" s="143"/>
      <c r="D3" s="143"/>
      <c r="E3" s="143"/>
      <c r="F3" s="143"/>
      <c r="G3" s="143"/>
      <c r="H3" s="143"/>
      <c r="I3" s="143"/>
      <c r="J3" s="143"/>
    </row>
    <row r="4" spans="1:11" ht="15.75" x14ac:dyDescent="0.25">
      <c r="A4" s="30"/>
      <c r="B4" s="30"/>
      <c r="C4" s="30"/>
      <c r="D4" s="30"/>
      <c r="E4" s="30"/>
      <c r="F4" s="30"/>
      <c r="G4" s="30"/>
      <c r="H4" s="30"/>
      <c r="I4" s="30"/>
      <c r="J4" s="30"/>
    </row>
    <row r="5" spans="1:11" ht="15.95" customHeight="1" x14ac:dyDescent="0.25">
      <c r="A5" s="117" t="s">
        <v>0</v>
      </c>
      <c r="B5" s="117" t="s">
        <v>1</v>
      </c>
      <c r="C5" s="130" t="s">
        <v>59</v>
      </c>
      <c r="D5" s="144"/>
      <c r="E5" s="144"/>
      <c r="F5" s="131"/>
      <c r="G5" s="130" t="s">
        <v>60</v>
      </c>
      <c r="H5" s="144"/>
      <c r="I5" s="144"/>
      <c r="J5" s="131"/>
    </row>
    <row r="6" spans="1:11" ht="28.5" customHeight="1" x14ac:dyDescent="0.25">
      <c r="A6" s="117"/>
      <c r="B6" s="117"/>
      <c r="C6" s="20" t="s">
        <v>47</v>
      </c>
      <c r="D6" s="20" t="s">
        <v>3</v>
      </c>
      <c r="E6" s="20" t="s">
        <v>45</v>
      </c>
      <c r="F6" s="20" t="s">
        <v>46</v>
      </c>
      <c r="G6" s="20" t="s">
        <v>47</v>
      </c>
      <c r="H6" s="20" t="s">
        <v>3</v>
      </c>
      <c r="I6" s="20" t="s">
        <v>45</v>
      </c>
      <c r="J6" s="20" t="s">
        <v>46</v>
      </c>
    </row>
    <row r="7" spans="1:11" ht="15.95" customHeight="1" x14ac:dyDescent="0.25">
      <c r="A7" s="23" t="s">
        <v>7</v>
      </c>
      <c r="B7" s="23"/>
      <c r="C7" s="23"/>
      <c r="D7" s="23"/>
      <c r="E7" s="23"/>
      <c r="F7" s="23"/>
      <c r="G7" s="23"/>
      <c r="H7" s="23"/>
      <c r="I7" s="23"/>
      <c r="J7" s="23"/>
    </row>
    <row r="8" spans="1:11" ht="15.95" customHeight="1" x14ac:dyDescent="0.25">
      <c r="A8" s="14" t="s">
        <v>8</v>
      </c>
      <c r="B8" s="17" t="s">
        <v>9</v>
      </c>
      <c r="C8" s="79">
        <f>135885/4284</f>
        <v>31.719187675070028</v>
      </c>
      <c r="D8" s="79">
        <f>22201/430</f>
        <v>51.630232558139532</v>
      </c>
      <c r="E8" s="79">
        <f>(100175+13509)/3854</f>
        <v>29.49766476388168</v>
      </c>
      <c r="F8" s="79" t="s">
        <v>11</v>
      </c>
      <c r="G8" s="79">
        <f>95175/4284</f>
        <v>22.216386554621849</v>
      </c>
      <c r="H8" s="79">
        <f>20115/460</f>
        <v>43.728260869565219</v>
      </c>
      <c r="I8" s="79">
        <f>75060/3854</f>
        <v>19.475869226777373</v>
      </c>
      <c r="J8" s="79" t="s">
        <v>11</v>
      </c>
    </row>
    <row r="9" spans="1:11" ht="15.95" customHeight="1" x14ac:dyDescent="0.25">
      <c r="A9" s="14" t="s">
        <v>12</v>
      </c>
      <c r="B9" s="17" t="s">
        <v>13</v>
      </c>
      <c r="C9" s="79">
        <f>67886/3296</f>
        <v>20.596480582524272</v>
      </c>
      <c r="D9" s="79">
        <f>11417/981</f>
        <v>11.638124362895006</v>
      </c>
      <c r="E9" s="79">
        <f>3151/257</f>
        <v>12.260700389105059</v>
      </c>
      <c r="F9" s="79">
        <f>53318/2058</f>
        <v>25.907677356656947</v>
      </c>
      <c r="G9" s="79">
        <f>69565/3296</f>
        <v>21.105885922330096</v>
      </c>
      <c r="H9" s="79">
        <f>18650/981</f>
        <v>19.011213047910296</v>
      </c>
      <c r="I9" s="79">
        <f>3986/257</f>
        <v>15.509727626459144</v>
      </c>
      <c r="J9" s="79">
        <f>46929/2058</f>
        <v>22.803206997084548</v>
      </c>
    </row>
    <row r="10" spans="1:11" ht="15.95" customHeight="1" x14ac:dyDescent="0.25">
      <c r="A10" s="14" t="s">
        <v>14</v>
      </c>
      <c r="B10" s="17" t="s">
        <v>15</v>
      </c>
      <c r="C10" s="79">
        <f>28388/2279</f>
        <v>12.456340500219394</v>
      </c>
      <c r="D10" s="79">
        <f>10400/1732</f>
        <v>6.0046189376443415</v>
      </c>
      <c r="E10" s="77">
        <f>3164/62</f>
        <v>51.032258064516128</v>
      </c>
      <c r="F10" s="77">
        <f>14824/485</f>
        <v>30.564948453608249</v>
      </c>
      <c r="G10" s="79">
        <f>64209/2279</f>
        <v>28.174199210179903</v>
      </c>
      <c r="H10" s="79">
        <f>40884/1732</f>
        <v>23.605080831408777</v>
      </c>
      <c r="I10" s="77">
        <f>2253/62</f>
        <v>36.338709677419352</v>
      </c>
      <c r="J10" s="77">
        <f>21072/485</f>
        <v>43.447422680412373</v>
      </c>
    </row>
    <row r="11" spans="1:11" ht="15.95" customHeight="1" x14ac:dyDescent="0.25">
      <c r="A11" s="14" t="s">
        <v>16</v>
      </c>
      <c r="B11" s="17" t="s">
        <v>17</v>
      </c>
      <c r="C11" s="79">
        <f>2484/106</f>
        <v>23.433962264150942</v>
      </c>
      <c r="D11" s="79">
        <f>804/81</f>
        <v>9.9259259259259256</v>
      </c>
      <c r="E11" s="79">
        <f>1680/25</f>
        <v>67.2</v>
      </c>
      <c r="F11" s="79" t="s">
        <v>11</v>
      </c>
      <c r="G11" s="79">
        <f>2056/106</f>
        <v>19.39622641509434</v>
      </c>
      <c r="H11" s="79">
        <f>1027/81</f>
        <v>12.679012345679013</v>
      </c>
      <c r="I11" s="79">
        <f>1029/25</f>
        <v>41.16</v>
      </c>
      <c r="J11" s="79" t="s">
        <v>11</v>
      </c>
    </row>
    <row r="12" spans="1:11" ht="15.95" customHeight="1" x14ac:dyDescent="0.25">
      <c r="A12" s="14" t="s">
        <v>18</v>
      </c>
      <c r="B12" s="17" t="s">
        <v>19</v>
      </c>
      <c r="C12" s="79">
        <f>14358/910</f>
        <v>15.778021978021979</v>
      </c>
      <c r="D12" s="79">
        <f>14358/910</f>
        <v>15.778021978021979</v>
      </c>
      <c r="E12" s="79" t="s">
        <v>11</v>
      </c>
      <c r="F12" s="79" t="s">
        <v>11</v>
      </c>
      <c r="G12" s="79">
        <f>18787/910</f>
        <v>20.645054945054945</v>
      </c>
      <c r="H12" s="79">
        <f>18787/910</f>
        <v>20.645054945054945</v>
      </c>
      <c r="I12" s="79" t="s">
        <v>11</v>
      </c>
      <c r="J12" s="79" t="s">
        <v>11</v>
      </c>
    </row>
    <row r="13" spans="1:11" ht="15.95" customHeight="1" x14ac:dyDescent="0.25">
      <c r="A13" s="14" t="s">
        <v>20</v>
      </c>
      <c r="B13" s="17" t="s">
        <v>21</v>
      </c>
      <c r="C13" s="79">
        <f>16477/372</f>
        <v>44.293010752688176</v>
      </c>
      <c r="D13" s="79">
        <f>8058/202</f>
        <v>39.89108910891089</v>
      </c>
      <c r="E13" s="79">
        <f>209/5</f>
        <v>41.8</v>
      </c>
      <c r="F13" s="79">
        <f>8210/165</f>
        <v>49.757575757575758</v>
      </c>
      <c r="G13" s="79">
        <f>14606/372</f>
        <v>39.263440860215056</v>
      </c>
      <c r="H13" s="77">
        <f>6561/202</f>
        <v>32.480198019801982</v>
      </c>
      <c r="I13" s="79">
        <f>153/5</f>
        <v>30.6</v>
      </c>
      <c r="J13" s="79">
        <f>7892/165</f>
        <v>47.830303030303028</v>
      </c>
    </row>
    <row r="14" spans="1:11" ht="15.95" customHeight="1" x14ac:dyDescent="0.25">
      <c r="A14" s="14" t="s">
        <v>22</v>
      </c>
      <c r="B14" s="17" t="s">
        <v>23</v>
      </c>
      <c r="C14" s="79">
        <f>44249/1985</f>
        <v>22.291687657430732</v>
      </c>
      <c r="D14" s="79">
        <f>13378/748</f>
        <v>17.885026737967916</v>
      </c>
      <c r="E14" s="79" t="s">
        <v>11</v>
      </c>
      <c r="F14" s="77">
        <f>30871/1237</f>
        <v>24.956345998383185</v>
      </c>
      <c r="G14" s="79">
        <f>59712/1985</f>
        <v>30.0816120906801</v>
      </c>
      <c r="H14" s="79">
        <f>11947/748</f>
        <v>15.97192513368984</v>
      </c>
      <c r="I14" s="79" t="s">
        <v>11</v>
      </c>
      <c r="J14" s="77">
        <f>47765/1237</f>
        <v>38.613581244947454</v>
      </c>
    </row>
    <row r="15" spans="1:11" ht="15.95" customHeight="1" x14ac:dyDescent="0.25">
      <c r="A15" s="164" t="s">
        <v>30</v>
      </c>
      <c r="B15" s="164"/>
      <c r="C15" s="36">
        <f t="shared" ref="C15:J15" si="0">SUM(C8:C14)</f>
        <v>170.56869141010554</v>
      </c>
      <c r="D15" s="36">
        <f>SUM(D8:D14)</f>
        <v>152.75303960950558</v>
      </c>
      <c r="E15" s="36">
        <f t="shared" si="0"/>
        <v>201.79062321750285</v>
      </c>
      <c r="F15" s="36">
        <f t="shared" si="0"/>
        <v>131.18654756622414</v>
      </c>
      <c r="G15" s="36">
        <f t="shared" si="0"/>
        <v>180.88280599817625</v>
      </c>
      <c r="H15" s="36">
        <f t="shared" si="0"/>
        <v>168.12074519311005</v>
      </c>
      <c r="I15" s="36">
        <f t="shared" si="0"/>
        <v>143.08430653065585</v>
      </c>
      <c r="J15" s="36">
        <f t="shared" si="0"/>
        <v>152.6945139527474</v>
      </c>
    </row>
    <row r="16" spans="1:11" ht="15.95" customHeight="1" x14ac:dyDescent="0.25">
      <c r="A16" s="114" t="s">
        <v>32</v>
      </c>
      <c r="B16" s="115"/>
      <c r="C16" s="37">
        <f>C15/7</f>
        <v>24.366955915729363</v>
      </c>
      <c r="D16" s="37">
        <f>D15/7</f>
        <v>21.821862801357941</v>
      </c>
      <c r="E16" s="37">
        <f>E15/5</f>
        <v>40.358124643500574</v>
      </c>
      <c r="F16" s="37">
        <f>F15/4</f>
        <v>32.796636891556034</v>
      </c>
      <c r="G16" s="37">
        <f>G15/7</f>
        <v>25.840400856882322</v>
      </c>
      <c r="H16" s="37">
        <f>H15/7</f>
        <v>24.017249313301438</v>
      </c>
      <c r="I16" s="37">
        <f>I15/5</f>
        <v>28.61686130613117</v>
      </c>
      <c r="J16" s="37">
        <f>J15/4</f>
        <v>38.17362848818685</v>
      </c>
    </row>
    <row r="17" spans="1:10" ht="15.95" customHeight="1" x14ac:dyDescent="0.25">
      <c r="A17" s="163" t="s">
        <v>24</v>
      </c>
      <c r="B17" s="163"/>
      <c r="C17" s="163"/>
      <c r="D17" s="163"/>
      <c r="E17" s="163"/>
      <c r="F17" s="163"/>
      <c r="G17" s="163"/>
      <c r="H17" s="163"/>
      <c r="I17" s="163"/>
      <c r="J17" s="163"/>
    </row>
    <row r="18" spans="1:10" ht="15.95" customHeight="1" x14ac:dyDescent="0.25">
      <c r="A18" s="14" t="s">
        <v>8</v>
      </c>
      <c r="B18" s="17" t="s">
        <v>25</v>
      </c>
      <c r="C18" s="79">
        <f>14086/700</f>
        <v>20.122857142857143</v>
      </c>
      <c r="D18" s="79">
        <f>4914/209</f>
        <v>23.511961722488039</v>
      </c>
      <c r="E18" s="79">
        <f>457/35</f>
        <v>13.057142857142857</v>
      </c>
      <c r="F18" s="79">
        <f>8715/456</f>
        <v>19.111842105263158</v>
      </c>
      <c r="G18" s="79">
        <f>31919/700</f>
        <v>45.598571428571425</v>
      </c>
      <c r="H18" s="79">
        <f>9896/209</f>
        <v>47.349282296650721</v>
      </c>
      <c r="I18" s="79">
        <f>1698/35</f>
        <v>48.514285714285712</v>
      </c>
      <c r="J18" s="79">
        <f>20325/456</f>
        <v>44.57236842105263</v>
      </c>
    </row>
    <row r="19" spans="1:10" ht="15.95" customHeight="1" x14ac:dyDescent="0.25">
      <c r="A19" s="14" t="s">
        <v>12</v>
      </c>
      <c r="B19" s="17" t="s">
        <v>26</v>
      </c>
      <c r="C19" s="79">
        <f>4204/330</f>
        <v>12.73939393939394</v>
      </c>
      <c r="D19" s="77">
        <f>1079/80</f>
        <v>13.487500000000001</v>
      </c>
      <c r="E19" s="79" t="s">
        <v>11</v>
      </c>
      <c r="F19" s="79">
        <f>3125/250</f>
        <v>12.5</v>
      </c>
      <c r="G19" s="79">
        <f>9990/330</f>
        <v>30.272727272727273</v>
      </c>
      <c r="H19" s="77">
        <f>7109/80</f>
        <v>88.862499999999997</v>
      </c>
      <c r="I19" s="79" t="s">
        <v>11</v>
      </c>
      <c r="J19" s="79">
        <f>2881/250</f>
        <v>11.523999999999999</v>
      </c>
    </row>
    <row r="20" spans="1:10" ht="15.95" customHeight="1" x14ac:dyDescent="0.25">
      <c r="A20" s="14" t="s">
        <v>14</v>
      </c>
      <c r="B20" s="17" t="s">
        <v>27</v>
      </c>
      <c r="C20" s="79">
        <f>28083/1378</f>
        <v>20.379535558780841</v>
      </c>
      <c r="D20" s="79">
        <f>10783/451</f>
        <v>23.90909090909091</v>
      </c>
      <c r="E20" s="79" t="s">
        <v>11</v>
      </c>
      <c r="F20" s="79">
        <f>17300/927</f>
        <v>18.66235167206041</v>
      </c>
      <c r="G20" s="79">
        <f>28716/1378</f>
        <v>20.838896952104498</v>
      </c>
      <c r="H20" s="79">
        <f>14141/451</f>
        <v>31.354767184035477</v>
      </c>
      <c r="I20" s="79" t="s">
        <v>11</v>
      </c>
      <c r="J20" s="79">
        <f>14575/927</f>
        <v>15.722761596548004</v>
      </c>
    </row>
    <row r="21" spans="1:10" ht="15.95" customHeight="1" x14ac:dyDescent="0.25">
      <c r="A21" s="14" t="s">
        <v>16</v>
      </c>
      <c r="B21" s="17" t="s">
        <v>28</v>
      </c>
      <c r="C21" s="79">
        <f>33423/1655</f>
        <v>20.195166163141995</v>
      </c>
      <c r="D21" s="79">
        <f>11506/1655</f>
        <v>6.9522658610271906</v>
      </c>
      <c r="E21" s="77">
        <v>0</v>
      </c>
      <c r="F21" s="77">
        <v>0</v>
      </c>
      <c r="G21" s="79">
        <f>54835/1655</f>
        <v>33.132930513595163</v>
      </c>
      <c r="H21" s="79">
        <f>13163/1655</f>
        <v>7.9534743202416918</v>
      </c>
      <c r="I21" s="77">
        <v>0</v>
      </c>
      <c r="J21" s="77">
        <v>0</v>
      </c>
    </row>
    <row r="22" spans="1:10" ht="15.95" customHeight="1" x14ac:dyDescent="0.25">
      <c r="A22" s="164" t="s">
        <v>30</v>
      </c>
      <c r="B22" s="164"/>
      <c r="C22" s="36">
        <f t="shared" ref="C22:J22" si="1">SUM(C18:C21)</f>
        <v>73.436952804173913</v>
      </c>
      <c r="D22" s="36">
        <f t="shared" si="1"/>
        <v>67.860818492606128</v>
      </c>
      <c r="E22" s="36">
        <f t="shared" si="1"/>
        <v>13.057142857142857</v>
      </c>
      <c r="F22" s="36">
        <f t="shared" si="1"/>
        <v>50.274193777323568</v>
      </c>
      <c r="G22" s="36">
        <f t="shared" si="1"/>
        <v>129.84312616699836</v>
      </c>
      <c r="H22" s="36">
        <f t="shared" si="1"/>
        <v>175.52002380092787</v>
      </c>
      <c r="I22" s="36">
        <f t="shared" si="1"/>
        <v>48.514285714285712</v>
      </c>
      <c r="J22" s="36">
        <f t="shared" si="1"/>
        <v>71.819130017600628</v>
      </c>
    </row>
    <row r="23" spans="1:10" ht="15.95" customHeight="1" x14ac:dyDescent="0.25">
      <c r="A23" s="114" t="s">
        <v>32</v>
      </c>
      <c r="B23" s="115"/>
      <c r="C23" s="37">
        <f>C22/4</f>
        <v>18.359238201043478</v>
      </c>
      <c r="D23" s="37">
        <f>D22/4</f>
        <v>16.965204623151532</v>
      </c>
      <c r="E23" s="37">
        <f>E22/2</f>
        <v>6.5285714285714285</v>
      </c>
      <c r="F23" s="37">
        <f>F22/4</f>
        <v>12.568548444330892</v>
      </c>
      <c r="G23" s="37">
        <f>G22/4</f>
        <v>32.46078154174959</v>
      </c>
      <c r="H23" s="37">
        <f>H22/4</f>
        <v>43.880005950231968</v>
      </c>
      <c r="I23" s="37">
        <f>I22/2</f>
        <v>24.257142857142856</v>
      </c>
      <c r="J23" s="37">
        <f>J22/4</f>
        <v>17.954782504400157</v>
      </c>
    </row>
    <row r="24" spans="1:10" ht="30" customHeight="1" x14ac:dyDescent="0.25">
      <c r="A24" s="165" t="s">
        <v>29</v>
      </c>
      <c r="B24" s="165"/>
      <c r="C24" s="60">
        <f t="shared" ref="C24:J24" si="2">SUM(C15,C22)</f>
        <v>244.00564421427947</v>
      </c>
      <c r="D24" s="60">
        <f t="shared" si="2"/>
        <v>220.61385810211169</v>
      </c>
      <c r="E24" s="60">
        <f t="shared" si="2"/>
        <v>214.8477660746457</v>
      </c>
      <c r="F24" s="60">
        <f t="shared" si="2"/>
        <v>181.46074134354771</v>
      </c>
      <c r="G24" s="60">
        <f t="shared" si="2"/>
        <v>310.72593216517464</v>
      </c>
      <c r="H24" s="60">
        <f t="shared" si="2"/>
        <v>343.6407689940379</v>
      </c>
      <c r="I24" s="60">
        <f t="shared" si="2"/>
        <v>191.59859224494156</v>
      </c>
      <c r="J24" s="60">
        <f t="shared" si="2"/>
        <v>224.51364397034803</v>
      </c>
    </row>
    <row r="25" spans="1:10" ht="33.75" customHeight="1" x14ac:dyDescent="0.25">
      <c r="A25" s="165" t="s">
        <v>31</v>
      </c>
      <c r="B25" s="165"/>
      <c r="C25" s="58">
        <f>C24/11</f>
        <v>22.182331292207223</v>
      </c>
      <c r="D25" s="58">
        <f>D24/11</f>
        <v>20.055805282010155</v>
      </c>
      <c r="E25" s="58">
        <f>E24/7</f>
        <v>30.692538010663672</v>
      </c>
      <c r="F25" s="58">
        <f>F24/8</f>
        <v>22.682592667943464</v>
      </c>
      <c r="G25" s="58">
        <f>G24/11</f>
        <v>28.247812015015878</v>
      </c>
      <c r="H25" s="58">
        <f>H24/11</f>
        <v>31.2400699085489</v>
      </c>
      <c r="I25" s="58">
        <f>I24/7</f>
        <v>27.371227463563081</v>
      </c>
      <c r="J25" s="58">
        <f>J24/8</f>
        <v>28.064205496293503</v>
      </c>
    </row>
  </sheetData>
  <mergeCells count="13">
    <mergeCell ref="A15:B15"/>
    <mergeCell ref="A17:J17"/>
    <mergeCell ref="A22:B22"/>
    <mergeCell ref="A24:B24"/>
    <mergeCell ref="A25:B25"/>
    <mergeCell ref="A16:B16"/>
    <mergeCell ref="A23:B23"/>
    <mergeCell ref="A5:A6"/>
    <mergeCell ref="B5:B6"/>
    <mergeCell ref="C5:F5"/>
    <mergeCell ref="G5:J5"/>
    <mergeCell ref="A2:J2"/>
    <mergeCell ref="A3:J3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/>
  </sheetPr>
  <dimension ref="A2:AB26"/>
  <sheetViews>
    <sheetView workbookViewId="0">
      <selection activeCell="V26" sqref="V26"/>
    </sheetView>
  </sheetViews>
  <sheetFormatPr defaultRowHeight="15" x14ac:dyDescent="0.25"/>
  <cols>
    <col min="1" max="1" width="4.42578125" customWidth="1"/>
    <col min="2" max="2" width="28.28515625" customWidth="1"/>
    <col min="3" max="3" width="11" customWidth="1"/>
    <col min="4" max="4" width="11.7109375" customWidth="1"/>
    <col min="5" max="5" width="7.7109375" customWidth="1"/>
    <col min="6" max="6" width="9.140625" customWidth="1"/>
    <col min="7" max="7" width="10.85546875" customWidth="1"/>
    <col min="8" max="8" width="11" customWidth="1"/>
    <col min="9" max="9" width="11.7109375" customWidth="1"/>
    <col min="10" max="10" width="7.5703125" customWidth="1"/>
    <col min="11" max="11" width="9.140625" customWidth="1"/>
    <col min="12" max="12" width="10.85546875" customWidth="1"/>
    <col min="13" max="13" width="11.140625" customWidth="1"/>
    <col min="14" max="14" width="12" customWidth="1"/>
    <col min="15" max="15" width="8" customWidth="1"/>
    <col min="16" max="16" width="9.140625" customWidth="1"/>
    <col min="17" max="17" width="10.85546875" customWidth="1"/>
    <col min="18" max="18" width="11.140625" customWidth="1"/>
    <col min="19" max="19" width="11.7109375" customWidth="1"/>
    <col min="20" max="20" width="7.7109375" customWidth="1"/>
    <col min="21" max="21" width="9.140625" customWidth="1"/>
    <col min="22" max="22" width="11" customWidth="1"/>
  </cols>
  <sheetData>
    <row r="2" spans="1:28" ht="15" customHeight="1" x14ac:dyDescent="0.25">
      <c r="A2" s="150" t="s">
        <v>67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40"/>
      <c r="X2" s="40"/>
      <c r="Y2" s="40"/>
      <c r="Z2" s="40"/>
      <c r="AA2" s="40"/>
      <c r="AB2" s="40"/>
    </row>
    <row r="3" spans="1:28" ht="15.75" customHeight="1" x14ac:dyDescent="0.25">
      <c r="A3" s="150" t="s">
        <v>99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40"/>
      <c r="X3" s="40"/>
      <c r="Y3" s="40"/>
      <c r="Z3" s="40"/>
      <c r="AA3" s="40"/>
      <c r="AB3" s="40"/>
    </row>
    <row r="5" spans="1:28" ht="15.75" customHeight="1" x14ac:dyDescent="0.25">
      <c r="A5" s="117" t="s">
        <v>0</v>
      </c>
      <c r="B5" s="117" t="s">
        <v>1</v>
      </c>
      <c r="C5" s="173" t="s">
        <v>47</v>
      </c>
      <c r="D5" s="173"/>
      <c r="E5" s="173"/>
      <c r="F5" s="173"/>
      <c r="G5" s="170" t="s">
        <v>100</v>
      </c>
      <c r="H5" s="167" t="s">
        <v>3</v>
      </c>
      <c r="I5" s="168"/>
      <c r="J5" s="168"/>
      <c r="K5" s="169"/>
      <c r="L5" s="170" t="s">
        <v>100</v>
      </c>
      <c r="M5" s="173" t="s">
        <v>45</v>
      </c>
      <c r="N5" s="173"/>
      <c r="O5" s="173"/>
      <c r="P5" s="173"/>
      <c r="Q5" s="170" t="s">
        <v>100</v>
      </c>
      <c r="R5" s="173" t="s">
        <v>46</v>
      </c>
      <c r="S5" s="173"/>
      <c r="T5" s="173"/>
      <c r="U5" s="173"/>
      <c r="V5" s="170" t="s">
        <v>100</v>
      </c>
    </row>
    <row r="6" spans="1:28" ht="15" customHeight="1" x14ac:dyDescent="0.25">
      <c r="A6" s="117"/>
      <c r="B6" s="117"/>
      <c r="C6" s="117" t="s">
        <v>70</v>
      </c>
      <c r="D6" s="145" t="s">
        <v>69</v>
      </c>
      <c r="E6" s="117" t="s">
        <v>68</v>
      </c>
      <c r="F6" s="117"/>
      <c r="G6" s="171"/>
      <c r="H6" s="117" t="s">
        <v>70</v>
      </c>
      <c r="I6" s="145" t="s">
        <v>69</v>
      </c>
      <c r="J6" s="117" t="s">
        <v>68</v>
      </c>
      <c r="K6" s="117"/>
      <c r="L6" s="171"/>
      <c r="M6" s="117" t="s">
        <v>70</v>
      </c>
      <c r="N6" s="145" t="s">
        <v>69</v>
      </c>
      <c r="O6" s="117" t="s">
        <v>68</v>
      </c>
      <c r="P6" s="117"/>
      <c r="Q6" s="171"/>
      <c r="R6" s="117" t="s">
        <v>70</v>
      </c>
      <c r="S6" s="145" t="s">
        <v>69</v>
      </c>
      <c r="T6" s="117" t="s">
        <v>68</v>
      </c>
      <c r="U6" s="117"/>
      <c r="V6" s="171"/>
    </row>
    <row r="7" spans="1:28" ht="47.25" customHeight="1" x14ac:dyDescent="0.25">
      <c r="A7" s="117"/>
      <c r="B7" s="117"/>
      <c r="C7" s="117"/>
      <c r="D7" s="146"/>
      <c r="E7" s="38" t="s">
        <v>71</v>
      </c>
      <c r="F7" s="38" t="s">
        <v>72</v>
      </c>
      <c r="G7" s="172"/>
      <c r="H7" s="117"/>
      <c r="I7" s="146"/>
      <c r="J7" s="38" t="s">
        <v>71</v>
      </c>
      <c r="K7" s="38" t="s">
        <v>72</v>
      </c>
      <c r="L7" s="172"/>
      <c r="M7" s="117"/>
      <c r="N7" s="146"/>
      <c r="O7" s="38" t="s">
        <v>71</v>
      </c>
      <c r="P7" s="38" t="s">
        <v>72</v>
      </c>
      <c r="Q7" s="172"/>
      <c r="R7" s="117"/>
      <c r="S7" s="146"/>
      <c r="T7" s="38" t="s">
        <v>71</v>
      </c>
      <c r="U7" s="38" t="s">
        <v>72</v>
      </c>
      <c r="V7" s="172"/>
    </row>
    <row r="8" spans="1:28" ht="15.95" customHeight="1" x14ac:dyDescent="0.25">
      <c r="A8" s="140" t="s">
        <v>7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2"/>
      <c r="V8" s="39"/>
    </row>
    <row r="9" spans="1:28" ht="15.95" customHeight="1" x14ac:dyDescent="0.25">
      <c r="A9" s="14" t="s">
        <v>8</v>
      </c>
      <c r="B9" s="17" t="s">
        <v>9</v>
      </c>
      <c r="C9" s="88">
        <v>389</v>
      </c>
      <c r="D9" s="77">
        <v>144</v>
      </c>
      <c r="E9" s="88">
        <v>135</v>
      </c>
      <c r="F9" s="88">
        <v>135</v>
      </c>
      <c r="G9" s="88">
        <v>-1</v>
      </c>
      <c r="H9" s="88">
        <v>131</v>
      </c>
      <c r="I9" s="88">
        <v>50</v>
      </c>
      <c r="J9" s="88">
        <v>41</v>
      </c>
      <c r="K9" s="88">
        <v>41</v>
      </c>
      <c r="L9" s="77">
        <f>I9-41</f>
        <v>9</v>
      </c>
      <c r="M9" s="88">
        <f>248+10</f>
        <v>258</v>
      </c>
      <c r="N9" s="88">
        <f>90+4</f>
        <v>94</v>
      </c>
      <c r="O9" s="88">
        <f>90+4</f>
        <v>94</v>
      </c>
      <c r="P9" s="88">
        <f>90+4</f>
        <v>94</v>
      </c>
      <c r="Q9" s="77">
        <f>N9-101</f>
        <v>-7</v>
      </c>
      <c r="R9" s="88" t="s">
        <v>11</v>
      </c>
      <c r="S9" s="88" t="s">
        <v>11</v>
      </c>
      <c r="T9" s="88" t="s">
        <v>11</v>
      </c>
      <c r="U9" s="88" t="s">
        <v>11</v>
      </c>
      <c r="V9" s="77" t="s">
        <v>11</v>
      </c>
    </row>
    <row r="10" spans="1:28" ht="15.95" customHeight="1" x14ac:dyDescent="0.25">
      <c r="A10" s="14" t="s">
        <v>12</v>
      </c>
      <c r="B10" s="17" t="s">
        <v>13</v>
      </c>
      <c r="C10" s="88">
        <v>365</v>
      </c>
      <c r="D10" s="77">
        <v>115</v>
      </c>
      <c r="E10" s="88">
        <v>115</v>
      </c>
      <c r="F10" s="88">
        <v>115</v>
      </c>
      <c r="G10" s="88">
        <v>-19</v>
      </c>
      <c r="H10" s="88">
        <v>69</v>
      </c>
      <c r="I10" s="88">
        <v>20</v>
      </c>
      <c r="J10" s="88">
        <v>20</v>
      </c>
      <c r="K10" s="88">
        <v>20</v>
      </c>
      <c r="L10" s="77">
        <f>I10-28</f>
        <v>-8</v>
      </c>
      <c r="M10" s="88">
        <v>20</v>
      </c>
      <c r="N10" s="88">
        <v>6</v>
      </c>
      <c r="O10" s="88">
        <v>6</v>
      </c>
      <c r="P10" s="88">
        <v>6</v>
      </c>
      <c r="Q10" s="77">
        <f>N10-6</f>
        <v>0</v>
      </c>
      <c r="R10" s="88">
        <v>276</v>
      </c>
      <c r="S10" s="88">
        <v>89</v>
      </c>
      <c r="T10" s="88">
        <v>89</v>
      </c>
      <c r="U10" s="88">
        <v>89</v>
      </c>
      <c r="V10" s="77">
        <f>S10-92</f>
        <v>-3</v>
      </c>
    </row>
    <row r="11" spans="1:28" ht="15.95" customHeight="1" x14ac:dyDescent="0.25">
      <c r="A11" s="14" t="s">
        <v>14</v>
      </c>
      <c r="B11" s="17" t="s">
        <v>15</v>
      </c>
      <c r="C11" s="88">
        <v>381</v>
      </c>
      <c r="D11" s="77">
        <v>101</v>
      </c>
      <c r="E11" s="88">
        <v>93</v>
      </c>
      <c r="F11" s="88">
        <v>100</v>
      </c>
      <c r="G11" s="88">
        <v>1</v>
      </c>
      <c r="H11" s="88">
        <v>128</v>
      </c>
      <c r="I11" s="88">
        <v>28</v>
      </c>
      <c r="J11" s="88">
        <v>21</v>
      </c>
      <c r="K11" s="88">
        <v>28</v>
      </c>
      <c r="L11" s="77">
        <f>I11-27</f>
        <v>1</v>
      </c>
      <c r="M11" s="88">
        <v>28</v>
      </c>
      <c r="N11" s="88">
        <v>6</v>
      </c>
      <c r="O11" s="88">
        <v>6</v>
      </c>
      <c r="P11" s="88">
        <v>6</v>
      </c>
      <c r="Q11" s="77">
        <f>N11-6</f>
        <v>0</v>
      </c>
      <c r="R11" s="88">
        <v>225</v>
      </c>
      <c r="S11" s="88">
        <v>67</v>
      </c>
      <c r="T11" s="88">
        <v>66</v>
      </c>
      <c r="U11" s="88">
        <v>66</v>
      </c>
      <c r="V11" s="77">
        <f>S11-66</f>
        <v>1</v>
      </c>
    </row>
    <row r="12" spans="1:28" ht="15.95" customHeight="1" x14ac:dyDescent="0.25">
      <c r="A12" s="14" t="s">
        <v>16</v>
      </c>
      <c r="B12" s="17" t="s">
        <v>17</v>
      </c>
      <c r="C12" s="88">
        <v>39</v>
      </c>
      <c r="D12" s="77">
        <v>16</v>
      </c>
      <c r="E12" s="88">
        <v>11</v>
      </c>
      <c r="F12" s="88">
        <v>11</v>
      </c>
      <c r="G12" s="88">
        <v>12</v>
      </c>
      <c r="H12" s="88">
        <v>10</v>
      </c>
      <c r="I12" s="88">
        <v>10</v>
      </c>
      <c r="J12" s="88">
        <v>5</v>
      </c>
      <c r="K12" s="88">
        <v>5</v>
      </c>
      <c r="L12" s="77">
        <f>I12-10</f>
        <v>0</v>
      </c>
      <c r="M12" s="88">
        <v>29</v>
      </c>
      <c r="N12" s="88">
        <v>6</v>
      </c>
      <c r="O12" s="88">
        <v>6</v>
      </c>
      <c r="P12" s="88">
        <v>6</v>
      </c>
      <c r="Q12" s="77">
        <f>N12-4</f>
        <v>2</v>
      </c>
      <c r="R12" s="88" t="s">
        <v>11</v>
      </c>
      <c r="S12" s="88" t="s">
        <v>11</v>
      </c>
      <c r="T12" s="88" t="s">
        <v>11</v>
      </c>
      <c r="U12" s="88" t="s">
        <v>11</v>
      </c>
      <c r="V12" s="77" t="s">
        <v>11</v>
      </c>
    </row>
    <row r="13" spans="1:28" ht="15.95" customHeight="1" x14ac:dyDescent="0.25">
      <c r="A13" s="14" t="s">
        <v>18</v>
      </c>
      <c r="B13" s="17" t="s">
        <v>19</v>
      </c>
      <c r="C13" s="88">
        <v>127</v>
      </c>
      <c r="D13" s="77">
        <v>22</v>
      </c>
      <c r="E13" s="88">
        <v>22</v>
      </c>
      <c r="F13" s="88">
        <v>22</v>
      </c>
      <c r="G13" s="88">
        <v>0</v>
      </c>
      <c r="H13" s="88">
        <v>127</v>
      </c>
      <c r="I13" s="88">
        <v>22</v>
      </c>
      <c r="J13" s="88">
        <v>22</v>
      </c>
      <c r="K13" s="88">
        <v>22</v>
      </c>
      <c r="L13" s="77">
        <f>I13-20</f>
        <v>2</v>
      </c>
      <c r="M13" s="88" t="s">
        <v>11</v>
      </c>
      <c r="N13" s="88" t="s">
        <v>11</v>
      </c>
      <c r="O13" s="88" t="s">
        <v>11</v>
      </c>
      <c r="P13" s="88" t="s">
        <v>11</v>
      </c>
      <c r="Q13" s="77" t="s">
        <v>11</v>
      </c>
      <c r="R13" s="88" t="s">
        <v>11</v>
      </c>
      <c r="S13" s="88" t="s">
        <v>11</v>
      </c>
      <c r="T13" s="88" t="s">
        <v>11</v>
      </c>
      <c r="U13" s="88" t="s">
        <v>11</v>
      </c>
      <c r="V13" s="77" t="s">
        <v>11</v>
      </c>
    </row>
    <row r="14" spans="1:28" ht="15.95" customHeight="1" x14ac:dyDescent="0.25">
      <c r="A14" s="14" t="s">
        <v>20</v>
      </c>
      <c r="B14" s="17" t="s">
        <v>21</v>
      </c>
      <c r="C14" s="88">
        <v>261</v>
      </c>
      <c r="D14" s="77">
        <v>104</v>
      </c>
      <c r="E14" s="88">
        <v>101</v>
      </c>
      <c r="F14" s="88">
        <v>101</v>
      </c>
      <c r="G14" s="88">
        <v>1</v>
      </c>
      <c r="H14" s="88">
        <v>86</v>
      </c>
      <c r="I14" s="88">
        <v>15</v>
      </c>
      <c r="J14" s="88">
        <v>15</v>
      </c>
      <c r="K14" s="88">
        <v>15</v>
      </c>
      <c r="L14" s="77">
        <f>I14-15</f>
        <v>0</v>
      </c>
      <c r="M14" s="88">
        <v>15</v>
      </c>
      <c r="N14" s="88">
        <v>3</v>
      </c>
      <c r="O14" s="88">
        <v>3</v>
      </c>
      <c r="P14" s="88">
        <v>3</v>
      </c>
      <c r="Q14" s="77">
        <f>N14-4</f>
        <v>-1</v>
      </c>
      <c r="R14" s="88">
        <v>160</v>
      </c>
      <c r="S14" s="88">
        <v>86</v>
      </c>
      <c r="T14" s="88">
        <v>83</v>
      </c>
      <c r="U14" s="88">
        <v>83</v>
      </c>
      <c r="V14" s="77">
        <f>S14-84</f>
        <v>2</v>
      </c>
    </row>
    <row r="15" spans="1:28" ht="15.95" customHeight="1" x14ac:dyDescent="0.25">
      <c r="A15" s="14" t="s">
        <v>22</v>
      </c>
      <c r="B15" s="17" t="s">
        <v>23</v>
      </c>
      <c r="C15" s="88">
        <v>450</v>
      </c>
      <c r="D15" s="77">
        <v>159</v>
      </c>
      <c r="E15" s="88">
        <v>159</v>
      </c>
      <c r="F15" s="88">
        <v>159</v>
      </c>
      <c r="G15" s="88">
        <v>0</v>
      </c>
      <c r="H15" s="88">
        <v>98</v>
      </c>
      <c r="I15" s="88">
        <v>32</v>
      </c>
      <c r="J15" s="88">
        <v>32</v>
      </c>
      <c r="K15" s="88">
        <v>32</v>
      </c>
      <c r="L15" s="77">
        <f>I15-32</f>
        <v>0</v>
      </c>
      <c r="M15" s="88" t="s">
        <v>11</v>
      </c>
      <c r="N15" s="88" t="s">
        <v>11</v>
      </c>
      <c r="O15" s="88" t="s">
        <v>11</v>
      </c>
      <c r="P15" s="88" t="s">
        <v>11</v>
      </c>
      <c r="Q15" s="77" t="s">
        <v>11</v>
      </c>
      <c r="R15" s="88">
        <v>352</v>
      </c>
      <c r="S15" s="88">
        <v>127</v>
      </c>
      <c r="T15" s="88">
        <v>127</v>
      </c>
      <c r="U15" s="88">
        <v>127</v>
      </c>
      <c r="V15" s="77">
        <f>S15-127</f>
        <v>0</v>
      </c>
    </row>
    <row r="16" spans="1:28" ht="15.95" customHeight="1" x14ac:dyDescent="0.25">
      <c r="A16" s="164" t="s">
        <v>30</v>
      </c>
      <c r="B16" s="164"/>
      <c r="C16" s="19">
        <f t="shared" ref="C16:V16" si="0">SUM(C9:C15)</f>
        <v>2012</v>
      </c>
      <c r="D16" s="19">
        <f t="shared" si="0"/>
        <v>661</v>
      </c>
      <c r="E16" s="19">
        <f t="shared" si="0"/>
        <v>636</v>
      </c>
      <c r="F16" s="19">
        <f t="shared" si="0"/>
        <v>643</v>
      </c>
      <c r="G16" s="19">
        <f>SUM(G9:G15)</f>
        <v>-6</v>
      </c>
      <c r="H16" s="19">
        <f t="shared" si="0"/>
        <v>649</v>
      </c>
      <c r="I16" s="19">
        <f t="shared" si="0"/>
        <v>177</v>
      </c>
      <c r="J16" s="19">
        <f t="shared" si="0"/>
        <v>156</v>
      </c>
      <c r="K16" s="19">
        <f t="shared" si="0"/>
        <v>163</v>
      </c>
      <c r="L16" s="19">
        <f t="shared" si="0"/>
        <v>4</v>
      </c>
      <c r="M16" s="19">
        <f t="shared" si="0"/>
        <v>350</v>
      </c>
      <c r="N16" s="19">
        <f t="shared" si="0"/>
        <v>115</v>
      </c>
      <c r="O16" s="19">
        <f t="shared" si="0"/>
        <v>115</v>
      </c>
      <c r="P16" s="19">
        <f t="shared" si="0"/>
        <v>115</v>
      </c>
      <c r="Q16" s="19">
        <f t="shared" si="0"/>
        <v>-6</v>
      </c>
      <c r="R16" s="19">
        <f t="shared" si="0"/>
        <v>1013</v>
      </c>
      <c r="S16" s="19">
        <f t="shared" si="0"/>
        <v>369</v>
      </c>
      <c r="T16" s="19">
        <f t="shared" si="0"/>
        <v>365</v>
      </c>
      <c r="U16" s="19">
        <f t="shared" si="0"/>
        <v>365</v>
      </c>
      <c r="V16" s="19">
        <f t="shared" si="0"/>
        <v>0</v>
      </c>
    </row>
    <row r="17" spans="1:22" ht="15.95" customHeight="1" x14ac:dyDescent="0.25">
      <c r="A17" s="164" t="s">
        <v>32</v>
      </c>
      <c r="B17" s="164"/>
      <c r="C17" s="37">
        <f>C16/105</f>
        <v>19.161904761904761</v>
      </c>
      <c r="D17" s="37">
        <f>D16/105</f>
        <v>6.2952380952380951</v>
      </c>
      <c r="E17" s="37">
        <f>E16/105</f>
        <v>6.0571428571428569</v>
      </c>
      <c r="F17" s="37">
        <f>F16/105</f>
        <v>6.1238095238095234</v>
      </c>
      <c r="G17" s="37">
        <f>G16/105</f>
        <v>-5.7142857142857141E-2</v>
      </c>
      <c r="H17" s="37">
        <f t="shared" ref="H17:L17" si="1">H16/7</f>
        <v>92.714285714285708</v>
      </c>
      <c r="I17" s="37">
        <f t="shared" si="1"/>
        <v>25.285714285714285</v>
      </c>
      <c r="J17" s="37">
        <f t="shared" si="1"/>
        <v>22.285714285714285</v>
      </c>
      <c r="K17" s="37">
        <f t="shared" si="1"/>
        <v>23.285714285714285</v>
      </c>
      <c r="L17" s="37">
        <f t="shared" si="1"/>
        <v>0.5714285714285714</v>
      </c>
      <c r="M17" s="37">
        <f>M16/16</f>
        <v>21.875</v>
      </c>
      <c r="N17" s="37">
        <f>N16/16</f>
        <v>7.1875</v>
      </c>
      <c r="O17" s="37">
        <f>O16/16</f>
        <v>7.1875</v>
      </c>
      <c r="P17" s="37">
        <f>P16/16</f>
        <v>7.1875</v>
      </c>
      <c r="Q17" s="37">
        <f>Q16/16</f>
        <v>-0.375</v>
      </c>
      <c r="R17" s="37">
        <f>R16/74</f>
        <v>13.689189189189189</v>
      </c>
      <c r="S17" s="37">
        <f>S16/74</f>
        <v>4.9864864864864868</v>
      </c>
      <c r="T17" s="37">
        <f>T16/74</f>
        <v>4.9324324324324325</v>
      </c>
      <c r="U17" s="37">
        <f>U16/74</f>
        <v>4.9324324324324325</v>
      </c>
      <c r="V17" s="37">
        <f>V16/74</f>
        <v>0</v>
      </c>
    </row>
    <row r="18" spans="1:22" ht="15.95" customHeight="1" x14ac:dyDescent="0.25">
      <c r="A18" s="140" t="s">
        <v>24</v>
      </c>
      <c r="B18" s="141"/>
      <c r="C18" s="141"/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41"/>
      <c r="U18" s="142"/>
      <c r="V18" s="39"/>
    </row>
    <row r="19" spans="1:22" ht="15.95" customHeight="1" x14ac:dyDescent="0.25">
      <c r="A19" s="14" t="s">
        <v>8</v>
      </c>
      <c r="B19" s="17" t="s">
        <v>25</v>
      </c>
      <c r="C19" s="88">
        <v>97</v>
      </c>
      <c r="D19" s="88">
        <v>64</v>
      </c>
      <c r="E19" s="88">
        <v>0</v>
      </c>
      <c r="F19" s="88">
        <v>55</v>
      </c>
      <c r="G19" s="77">
        <v>-33</v>
      </c>
      <c r="H19" s="88">
        <v>10</v>
      </c>
      <c r="I19" s="88">
        <v>10</v>
      </c>
      <c r="J19" s="88">
        <v>0</v>
      </c>
      <c r="K19" s="88">
        <v>10</v>
      </c>
      <c r="L19" s="77">
        <f>I19-17</f>
        <v>-7</v>
      </c>
      <c r="M19" s="88">
        <v>3</v>
      </c>
      <c r="N19" s="88">
        <v>2</v>
      </c>
      <c r="O19" s="88">
        <v>0</v>
      </c>
      <c r="P19" s="88">
        <v>2</v>
      </c>
      <c r="Q19" s="77">
        <f>N19-3</f>
        <v>-1</v>
      </c>
      <c r="R19" s="88">
        <v>84</v>
      </c>
      <c r="S19" s="88">
        <v>52</v>
      </c>
      <c r="T19" s="88">
        <v>0</v>
      </c>
      <c r="U19" s="88">
        <v>43</v>
      </c>
      <c r="V19" s="77">
        <f>S19-50</f>
        <v>2</v>
      </c>
    </row>
    <row r="20" spans="1:22" ht="15.95" customHeight="1" x14ac:dyDescent="0.25">
      <c r="A20" s="14" t="s">
        <v>12</v>
      </c>
      <c r="B20" s="17" t="s">
        <v>26</v>
      </c>
      <c r="C20" s="88">
        <v>129</v>
      </c>
      <c r="D20" s="88">
        <v>45</v>
      </c>
      <c r="E20" s="88">
        <v>45</v>
      </c>
      <c r="F20" s="88">
        <v>45</v>
      </c>
      <c r="G20" s="77">
        <v>-1</v>
      </c>
      <c r="H20" s="88">
        <v>69</v>
      </c>
      <c r="I20" s="88">
        <v>21</v>
      </c>
      <c r="J20" s="88">
        <v>21</v>
      </c>
      <c r="K20" s="88">
        <v>21</v>
      </c>
      <c r="L20" s="77">
        <f>I20-19</f>
        <v>2</v>
      </c>
      <c r="M20" s="88" t="s">
        <v>11</v>
      </c>
      <c r="N20" s="88" t="s">
        <v>11</v>
      </c>
      <c r="O20" s="88" t="s">
        <v>11</v>
      </c>
      <c r="P20" s="88" t="s">
        <v>11</v>
      </c>
      <c r="Q20" s="77" t="s">
        <v>11</v>
      </c>
      <c r="R20" s="88">
        <v>60</v>
      </c>
      <c r="S20" s="88">
        <v>24</v>
      </c>
      <c r="T20" s="88">
        <v>24</v>
      </c>
      <c r="U20" s="88">
        <v>24</v>
      </c>
      <c r="V20" s="77">
        <f>S20-24</f>
        <v>0</v>
      </c>
    </row>
    <row r="21" spans="1:22" ht="15.95" customHeight="1" x14ac:dyDescent="0.25">
      <c r="A21" s="14" t="s">
        <v>14</v>
      </c>
      <c r="B21" s="17" t="s">
        <v>27</v>
      </c>
      <c r="C21" s="88">
        <v>210</v>
      </c>
      <c r="D21" s="88">
        <v>105</v>
      </c>
      <c r="E21" s="88">
        <v>105</v>
      </c>
      <c r="F21" s="88">
        <v>105</v>
      </c>
      <c r="G21" s="77">
        <v>5</v>
      </c>
      <c r="H21" s="88">
        <v>40</v>
      </c>
      <c r="I21" s="88">
        <v>22</v>
      </c>
      <c r="J21" s="88">
        <v>22</v>
      </c>
      <c r="K21" s="88">
        <v>22</v>
      </c>
      <c r="L21" s="77">
        <f>I21-16</f>
        <v>6</v>
      </c>
      <c r="M21" s="88" t="s">
        <v>11</v>
      </c>
      <c r="N21" s="88" t="s">
        <v>11</v>
      </c>
      <c r="O21" s="88" t="s">
        <v>11</v>
      </c>
      <c r="P21" s="88" t="s">
        <v>11</v>
      </c>
      <c r="Q21" s="77" t="s">
        <v>11</v>
      </c>
      <c r="R21" s="88">
        <v>170</v>
      </c>
      <c r="S21" s="88">
        <v>83</v>
      </c>
      <c r="T21" s="88">
        <v>83</v>
      </c>
      <c r="U21" s="88">
        <v>83</v>
      </c>
      <c r="V21" s="77">
        <f>S21-83</f>
        <v>0</v>
      </c>
    </row>
    <row r="22" spans="1:22" ht="15.95" customHeight="1" x14ac:dyDescent="0.25">
      <c r="A22" s="14" t="s">
        <v>16</v>
      </c>
      <c r="B22" s="17" t="s">
        <v>28</v>
      </c>
      <c r="C22" s="88">
        <v>453</v>
      </c>
      <c r="D22" s="88">
        <v>123</v>
      </c>
      <c r="E22" s="88">
        <v>123</v>
      </c>
      <c r="F22" s="88">
        <v>123</v>
      </c>
      <c r="G22" s="77">
        <v>-45</v>
      </c>
      <c r="H22" s="88">
        <v>116</v>
      </c>
      <c r="I22" s="88">
        <v>31</v>
      </c>
      <c r="J22" s="88">
        <v>31</v>
      </c>
      <c r="K22" s="88">
        <v>31</v>
      </c>
      <c r="L22" s="77">
        <f>I22-31</f>
        <v>0</v>
      </c>
      <c r="M22" s="88">
        <v>32</v>
      </c>
      <c r="N22" s="88">
        <v>10</v>
      </c>
      <c r="O22" s="88">
        <v>10</v>
      </c>
      <c r="P22" s="88">
        <v>10</v>
      </c>
      <c r="Q22" s="77">
        <f>N22-10</f>
        <v>0</v>
      </c>
      <c r="R22" s="88">
        <v>305</v>
      </c>
      <c r="S22" s="88">
        <v>82</v>
      </c>
      <c r="T22" s="88">
        <v>82</v>
      </c>
      <c r="U22" s="88">
        <v>82</v>
      </c>
      <c r="V22" s="77">
        <f>S22-84</f>
        <v>-2</v>
      </c>
    </row>
    <row r="23" spans="1:22" ht="15.95" customHeight="1" x14ac:dyDescent="0.25">
      <c r="A23" s="164" t="s">
        <v>30</v>
      </c>
      <c r="B23" s="164"/>
      <c r="C23" s="19">
        <f t="shared" ref="C23:V23" si="2">SUM(C19:C22)</f>
        <v>889</v>
      </c>
      <c r="D23" s="19">
        <f t="shared" si="2"/>
        <v>337</v>
      </c>
      <c r="E23" s="19">
        <f t="shared" si="2"/>
        <v>273</v>
      </c>
      <c r="F23" s="19">
        <f t="shared" si="2"/>
        <v>328</v>
      </c>
      <c r="G23" s="19">
        <f t="shared" si="2"/>
        <v>-74</v>
      </c>
      <c r="H23" s="19">
        <f t="shared" si="2"/>
        <v>235</v>
      </c>
      <c r="I23" s="19">
        <f t="shared" si="2"/>
        <v>84</v>
      </c>
      <c r="J23" s="19">
        <f t="shared" si="2"/>
        <v>74</v>
      </c>
      <c r="K23" s="19">
        <f t="shared" si="2"/>
        <v>84</v>
      </c>
      <c r="L23" s="19">
        <f t="shared" si="2"/>
        <v>1</v>
      </c>
      <c r="M23" s="19">
        <f t="shared" si="2"/>
        <v>35</v>
      </c>
      <c r="N23" s="19">
        <f t="shared" si="2"/>
        <v>12</v>
      </c>
      <c r="O23" s="19">
        <f t="shared" si="2"/>
        <v>10</v>
      </c>
      <c r="P23" s="19">
        <f t="shared" si="2"/>
        <v>12</v>
      </c>
      <c r="Q23" s="19">
        <f t="shared" si="2"/>
        <v>-1</v>
      </c>
      <c r="R23" s="19">
        <f t="shared" si="2"/>
        <v>619</v>
      </c>
      <c r="S23" s="19">
        <f t="shared" si="2"/>
        <v>241</v>
      </c>
      <c r="T23" s="19">
        <f t="shared" si="2"/>
        <v>189</v>
      </c>
      <c r="U23" s="19">
        <f t="shared" si="2"/>
        <v>232</v>
      </c>
      <c r="V23" s="19">
        <f t="shared" si="2"/>
        <v>0</v>
      </c>
    </row>
    <row r="24" spans="1:22" ht="15.95" customHeight="1" x14ac:dyDescent="0.25">
      <c r="A24" s="164" t="s">
        <v>32</v>
      </c>
      <c r="B24" s="164"/>
      <c r="C24" s="37">
        <f>C23/87</f>
        <v>10.218390804597702</v>
      </c>
      <c r="D24" s="37">
        <f>D23/87</f>
        <v>3.8735632183908044</v>
      </c>
      <c r="E24" s="37">
        <f>E23/87</f>
        <v>3.1379310344827585</v>
      </c>
      <c r="F24" s="37">
        <f>F23/87</f>
        <v>3.7701149425287355</v>
      </c>
      <c r="G24" s="37">
        <f>G23/87</f>
        <v>-0.85057471264367812</v>
      </c>
      <c r="H24" s="37">
        <f t="shared" ref="H24:L24" si="3">H23/4</f>
        <v>58.75</v>
      </c>
      <c r="I24" s="37">
        <f t="shared" si="3"/>
        <v>21</v>
      </c>
      <c r="J24" s="37">
        <f t="shared" si="3"/>
        <v>18.5</v>
      </c>
      <c r="K24" s="37">
        <f t="shared" si="3"/>
        <v>21</v>
      </c>
      <c r="L24" s="37">
        <f t="shared" si="3"/>
        <v>0.25</v>
      </c>
      <c r="M24" s="37">
        <f>M23/3</f>
        <v>11.666666666666666</v>
      </c>
      <c r="N24" s="37">
        <f>N23/3</f>
        <v>4</v>
      </c>
      <c r="O24" s="37">
        <f>O23/3</f>
        <v>3.3333333333333335</v>
      </c>
      <c r="P24" s="37">
        <f>P23/3</f>
        <v>4</v>
      </c>
      <c r="Q24" s="37">
        <v>0</v>
      </c>
      <c r="R24" s="37">
        <f>R23/78</f>
        <v>7.9358974358974361</v>
      </c>
      <c r="S24" s="37">
        <f>S23/78</f>
        <v>3.0897435897435899</v>
      </c>
      <c r="T24" s="37">
        <f>T23/78</f>
        <v>2.4230769230769229</v>
      </c>
      <c r="U24" s="37">
        <f>U23/78</f>
        <v>2.9743589743589745</v>
      </c>
      <c r="V24" s="37">
        <f>V23/78</f>
        <v>0</v>
      </c>
    </row>
    <row r="25" spans="1:22" ht="30" customHeight="1" x14ac:dyDescent="0.25">
      <c r="A25" s="165" t="s">
        <v>29</v>
      </c>
      <c r="B25" s="165"/>
      <c r="C25" s="48">
        <f t="shared" ref="C25:P25" si="4">SUM(C16,C23)</f>
        <v>2901</v>
      </c>
      <c r="D25" s="48">
        <f t="shared" si="4"/>
        <v>998</v>
      </c>
      <c r="E25" s="48">
        <f t="shared" si="4"/>
        <v>909</v>
      </c>
      <c r="F25" s="48">
        <f t="shared" si="4"/>
        <v>971</v>
      </c>
      <c r="G25" s="48">
        <f t="shared" si="4"/>
        <v>-80</v>
      </c>
      <c r="H25" s="48">
        <f t="shared" si="4"/>
        <v>884</v>
      </c>
      <c r="I25" s="48">
        <f t="shared" si="4"/>
        <v>261</v>
      </c>
      <c r="J25" s="48">
        <f t="shared" si="4"/>
        <v>230</v>
      </c>
      <c r="K25" s="48">
        <f t="shared" si="4"/>
        <v>247</v>
      </c>
      <c r="L25" s="48">
        <f t="shared" si="4"/>
        <v>5</v>
      </c>
      <c r="M25" s="48">
        <f t="shared" si="4"/>
        <v>385</v>
      </c>
      <c r="N25" s="48">
        <f t="shared" si="4"/>
        <v>127</v>
      </c>
      <c r="O25" s="48">
        <f t="shared" si="4"/>
        <v>125</v>
      </c>
      <c r="P25" s="48">
        <f t="shared" si="4"/>
        <v>127</v>
      </c>
      <c r="Q25" s="48">
        <v>8</v>
      </c>
      <c r="R25" s="48">
        <f>SUM(R16,R23)</f>
        <v>1632</v>
      </c>
      <c r="S25" s="48">
        <f>SUM(S16,S23)</f>
        <v>610</v>
      </c>
      <c r="T25" s="48">
        <f>SUM(T16,T23)</f>
        <v>554</v>
      </c>
      <c r="U25" s="48">
        <f>SUM(U16,U23)</f>
        <v>597</v>
      </c>
      <c r="V25" s="48">
        <f>SUM(V16,V23)</f>
        <v>0</v>
      </c>
    </row>
    <row r="26" spans="1:22" ht="33" customHeight="1" x14ac:dyDescent="0.25">
      <c r="A26" s="165" t="s">
        <v>31</v>
      </c>
      <c r="B26" s="165"/>
      <c r="C26" s="58">
        <f>C25/192</f>
        <v>15.109375</v>
      </c>
      <c r="D26" s="58">
        <f>D25/192</f>
        <v>5.197916666666667</v>
      </c>
      <c r="E26" s="58">
        <f>E25/192</f>
        <v>4.734375</v>
      </c>
      <c r="F26" s="58">
        <f>F25/192</f>
        <v>5.057291666666667</v>
      </c>
      <c r="G26" s="58">
        <f>G25/192</f>
        <v>-0.41666666666666669</v>
      </c>
      <c r="H26" s="58">
        <f t="shared" ref="H26:L26" si="5">H25/11</f>
        <v>80.36363636363636</v>
      </c>
      <c r="I26" s="58">
        <f t="shared" si="5"/>
        <v>23.727272727272727</v>
      </c>
      <c r="J26" s="58">
        <f t="shared" si="5"/>
        <v>20.90909090909091</v>
      </c>
      <c r="K26" s="58">
        <f t="shared" si="5"/>
        <v>22.454545454545453</v>
      </c>
      <c r="L26" s="58">
        <f t="shared" si="5"/>
        <v>0.45454545454545453</v>
      </c>
      <c r="M26" s="58">
        <f>M25/19</f>
        <v>20.263157894736842</v>
      </c>
      <c r="N26" s="58">
        <f>N25/19</f>
        <v>6.6842105263157894</v>
      </c>
      <c r="O26" s="58">
        <f>O25/19</f>
        <v>6.5789473684210522</v>
      </c>
      <c r="P26" s="58">
        <f>P25/19</f>
        <v>6.6842105263157894</v>
      </c>
      <c r="Q26" s="58">
        <f>Q25/19</f>
        <v>0.42105263157894735</v>
      </c>
      <c r="R26" s="58">
        <f>R25/152</f>
        <v>10.736842105263158</v>
      </c>
      <c r="S26" s="58">
        <f>S25/152</f>
        <v>4.0131578947368425</v>
      </c>
      <c r="T26" s="58">
        <f>T25/152</f>
        <v>3.6447368421052633</v>
      </c>
      <c r="U26" s="58">
        <f>U25/152</f>
        <v>3.9276315789473686</v>
      </c>
      <c r="V26" s="58">
        <f>V25/152</f>
        <v>0</v>
      </c>
    </row>
  </sheetData>
  <mergeCells count="32">
    <mergeCell ref="A8:U8"/>
    <mergeCell ref="A26:B26"/>
    <mergeCell ref="E6:F6"/>
    <mergeCell ref="C6:C7"/>
    <mergeCell ref="A5:A7"/>
    <mergeCell ref="B5:B7"/>
    <mergeCell ref="C5:F5"/>
    <mergeCell ref="J6:K6"/>
    <mergeCell ref="A18:U18"/>
    <mergeCell ref="A16:B16"/>
    <mergeCell ref="A17:B17"/>
    <mergeCell ref="A23:B23"/>
    <mergeCell ref="A24:B24"/>
    <mergeCell ref="A25:B25"/>
    <mergeCell ref="M5:P5"/>
    <mergeCell ref="R5:U5"/>
    <mergeCell ref="A2:V2"/>
    <mergeCell ref="A3:V3"/>
    <mergeCell ref="D6:D7"/>
    <mergeCell ref="I6:I7"/>
    <mergeCell ref="N6:N7"/>
    <mergeCell ref="S6:S7"/>
    <mergeCell ref="H5:K5"/>
    <mergeCell ref="H6:H7"/>
    <mergeCell ref="G5:G7"/>
    <mergeCell ref="L5:L7"/>
    <mergeCell ref="Q5:Q7"/>
    <mergeCell ref="V5:V7"/>
    <mergeCell ref="O6:P6"/>
    <mergeCell ref="T6:U6"/>
    <mergeCell ref="M6:M7"/>
    <mergeCell ref="R6:R7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/>
  </sheetPr>
  <dimension ref="A2:T36"/>
  <sheetViews>
    <sheetView workbookViewId="0">
      <selection activeCell="R25" sqref="R25"/>
    </sheetView>
  </sheetViews>
  <sheetFormatPr defaultRowHeight="15" x14ac:dyDescent="0.25"/>
  <cols>
    <col min="1" max="1" width="3.7109375" customWidth="1"/>
    <col min="2" max="2" width="29.28515625" customWidth="1"/>
    <col min="3" max="4" width="8.85546875" customWidth="1"/>
    <col min="5" max="5" width="10.42578125" customWidth="1"/>
    <col min="6" max="6" width="15.85546875" customWidth="1"/>
    <col min="7" max="7" width="8.85546875" customWidth="1"/>
    <col min="8" max="8" width="8.7109375" customWidth="1"/>
    <col min="9" max="9" width="10.7109375" customWidth="1"/>
    <col min="10" max="10" width="15.85546875" customWidth="1"/>
    <col min="11" max="11" width="8.85546875" customWidth="1"/>
    <col min="12" max="12" width="9" customWidth="1"/>
    <col min="13" max="13" width="10.5703125" customWidth="1"/>
    <col min="14" max="14" width="16" customWidth="1"/>
    <col min="15" max="16" width="8.7109375" customWidth="1"/>
    <col min="17" max="17" width="10.5703125" customWidth="1"/>
    <col min="18" max="18" width="16.140625" customWidth="1"/>
  </cols>
  <sheetData>
    <row r="2" spans="1:19" ht="15.75" x14ac:dyDescent="0.25">
      <c r="A2" s="143" t="s">
        <v>101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4" spans="1:19" ht="15.95" customHeight="1" x14ac:dyDescent="0.25">
      <c r="A4" s="117" t="s">
        <v>0</v>
      </c>
      <c r="B4" s="117" t="s">
        <v>1</v>
      </c>
      <c r="C4" s="173" t="s">
        <v>47</v>
      </c>
      <c r="D4" s="173"/>
      <c r="E4" s="173"/>
      <c r="F4" s="173"/>
      <c r="G4" s="167" t="s">
        <v>3</v>
      </c>
      <c r="H4" s="168"/>
      <c r="I4" s="168"/>
      <c r="J4" s="169"/>
      <c r="K4" s="173" t="s">
        <v>45</v>
      </c>
      <c r="L4" s="173"/>
      <c r="M4" s="173"/>
      <c r="N4" s="173"/>
      <c r="O4" s="173" t="s">
        <v>46</v>
      </c>
      <c r="P4" s="173"/>
      <c r="Q4" s="173"/>
      <c r="R4" s="173"/>
    </row>
    <row r="5" spans="1:19" ht="29.25" customHeight="1" x14ac:dyDescent="0.25">
      <c r="A5" s="117"/>
      <c r="B5" s="117"/>
      <c r="C5" s="117" t="s">
        <v>73</v>
      </c>
      <c r="D5" s="117" t="s">
        <v>75</v>
      </c>
      <c r="E5" s="145" t="s">
        <v>74</v>
      </c>
      <c r="F5" s="145" t="s">
        <v>102</v>
      </c>
      <c r="G5" s="117" t="s">
        <v>73</v>
      </c>
      <c r="H5" s="117" t="s">
        <v>75</v>
      </c>
      <c r="I5" s="145" t="s">
        <v>74</v>
      </c>
      <c r="J5" s="145" t="s">
        <v>102</v>
      </c>
      <c r="K5" s="117" t="s">
        <v>73</v>
      </c>
      <c r="L5" s="117" t="s">
        <v>75</v>
      </c>
      <c r="M5" s="145" t="s">
        <v>74</v>
      </c>
      <c r="N5" s="145" t="s">
        <v>102</v>
      </c>
      <c r="O5" s="117" t="s">
        <v>73</v>
      </c>
      <c r="P5" s="117" t="s">
        <v>75</v>
      </c>
      <c r="Q5" s="145" t="s">
        <v>74</v>
      </c>
      <c r="R5" s="145" t="s">
        <v>102</v>
      </c>
    </row>
    <row r="6" spans="1:19" ht="48.75" customHeight="1" x14ac:dyDescent="0.25">
      <c r="A6" s="117"/>
      <c r="B6" s="117"/>
      <c r="C6" s="117"/>
      <c r="D6" s="117"/>
      <c r="E6" s="146"/>
      <c r="F6" s="146"/>
      <c r="G6" s="117"/>
      <c r="H6" s="117"/>
      <c r="I6" s="146"/>
      <c r="J6" s="146"/>
      <c r="K6" s="117"/>
      <c r="L6" s="117"/>
      <c r="M6" s="146"/>
      <c r="N6" s="146"/>
      <c r="O6" s="117"/>
      <c r="P6" s="117"/>
      <c r="Q6" s="146"/>
      <c r="R6" s="146"/>
    </row>
    <row r="7" spans="1:19" ht="15.95" customHeight="1" x14ac:dyDescent="0.25">
      <c r="A7" s="140" t="s">
        <v>7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2"/>
    </row>
    <row r="8" spans="1:19" ht="15.95" customHeight="1" x14ac:dyDescent="0.25">
      <c r="A8" s="14" t="s">
        <v>8</v>
      </c>
      <c r="B8" s="17" t="s">
        <v>9</v>
      </c>
      <c r="C8" s="88">
        <v>71309</v>
      </c>
      <c r="D8" s="88">
        <v>71217</v>
      </c>
      <c r="E8" s="92">
        <f>C8/12</f>
        <v>5942.416666666667</v>
      </c>
      <c r="F8" s="88">
        <f>E8-5965</f>
        <v>-22.58333333333303</v>
      </c>
      <c r="G8" s="88">
        <v>20275</v>
      </c>
      <c r="H8" s="88">
        <v>20187</v>
      </c>
      <c r="I8" s="88">
        <v>20275</v>
      </c>
      <c r="J8" s="88">
        <f>I8-16926</f>
        <v>3349</v>
      </c>
      <c r="K8" s="88">
        <f>48133+2901</f>
        <v>51034</v>
      </c>
      <c r="L8" s="88">
        <f>48129+2901</f>
        <v>51030</v>
      </c>
      <c r="M8" s="92">
        <f>K8/11</f>
        <v>4639.454545454545</v>
      </c>
      <c r="N8" s="88">
        <f>M8-4968</f>
        <v>-328.54545454545496</v>
      </c>
      <c r="O8" s="88" t="s">
        <v>11</v>
      </c>
      <c r="P8" s="88" t="s">
        <v>11</v>
      </c>
      <c r="Q8" s="92" t="s">
        <v>11</v>
      </c>
      <c r="R8" s="88" t="s">
        <v>11</v>
      </c>
    </row>
    <row r="9" spans="1:19" ht="15.95" customHeight="1" x14ac:dyDescent="0.25">
      <c r="A9" s="14" t="s">
        <v>12</v>
      </c>
      <c r="B9" s="17" t="s">
        <v>13</v>
      </c>
      <c r="C9" s="88">
        <v>5953</v>
      </c>
      <c r="D9" s="88">
        <v>5953</v>
      </c>
      <c r="E9" s="92">
        <f>C9/25</f>
        <v>238.12</v>
      </c>
      <c r="F9" s="88">
        <f>E9-179</f>
        <v>59.120000000000005</v>
      </c>
      <c r="G9" s="88">
        <v>350</v>
      </c>
      <c r="H9" s="88">
        <v>350</v>
      </c>
      <c r="I9" s="88">
        <v>350</v>
      </c>
      <c r="J9" s="88">
        <f>I9-433</f>
        <v>-83</v>
      </c>
      <c r="K9" s="88">
        <v>81</v>
      </c>
      <c r="L9" s="88">
        <v>81</v>
      </c>
      <c r="M9" s="88">
        <f>K9</f>
        <v>81</v>
      </c>
      <c r="N9" s="88">
        <f>M9-116</f>
        <v>-35</v>
      </c>
      <c r="O9" s="88">
        <v>5522</v>
      </c>
      <c r="P9" s="88">
        <v>5522</v>
      </c>
      <c r="Q9" s="92">
        <f>O9/22</f>
        <v>251</v>
      </c>
      <c r="R9" s="88">
        <f>Q9-172</f>
        <v>79</v>
      </c>
      <c r="S9" s="41"/>
    </row>
    <row r="10" spans="1:19" ht="15.95" customHeight="1" x14ac:dyDescent="0.25">
      <c r="A10" s="14" t="s">
        <v>14</v>
      </c>
      <c r="B10" s="17" t="s">
        <v>15</v>
      </c>
      <c r="C10" s="88">
        <v>12807</v>
      </c>
      <c r="D10" s="88">
        <v>12773</v>
      </c>
      <c r="E10" s="92">
        <f>C10/20</f>
        <v>640.35</v>
      </c>
      <c r="F10" s="88">
        <f>E10-863</f>
        <v>-222.64999999999998</v>
      </c>
      <c r="G10" s="88">
        <v>9241</v>
      </c>
      <c r="H10" s="88">
        <v>9241</v>
      </c>
      <c r="I10" s="88">
        <v>9241</v>
      </c>
      <c r="J10" s="88">
        <f>I10-13060</f>
        <v>-3819</v>
      </c>
      <c r="K10" s="88">
        <v>606</v>
      </c>
      <c r="L10" s="88">
        <v>606</v>
      </c>
      <c r="M10" s="88">
        <f>K10</f>
        <v>606</v>
      </c>
      <c r="N10" s="88">
        <f>M10-537</f>
        <v>69</v>
      </c>
      <c r="O10" s="88">
        <v>2960</v>
      </c>
      <c r="P10" s="88">
        <v>2926</v>
      </c>
      <c r="Q10" s="92">
        <f>O10/18</f>
        <v>164.44444444444446</v>
      </c>
      <c r="R10" s="88">
        <f>Q10-202</f>
        <v>-37.555555555555543</v>
      </c>
      <c r="S10" s="41"/>
    </row>
    <row r="11" spans="1:19" ht="15.95" customHeight="1" x14ac:dyDescent="0.25">
      <c r="A11" s="14" t="s">
        <v>16</v>
      </c>
      <c r="B11" s="17" t="s">
        <v>17</v>
      </c>
      <c r="C11" s="88">
        <v>1881</v>
      </c>
      <c r="D11" s="88">
        <v>1634</v>
      </c>
      <c r="E11" s="92">
        <f>C11/3</f>
        <v>627</v>
      </c>
      <c r="F11" s="88">
        <f>E11-670</f>
        <v>-43</v>
      </c>
      <c r="G11" s="88">
        <v>1110</v>
      </c>
      <c r="H11" s="88">
        <v>1015</v>
      </c>
      <c r="I11" s="88">
        <v>1110</v>
      </c>
      <c r="J11" s="88">
        <f>I11-1110</f>
        <v>0</v>
      </c>
      <c r="K11" s="88">
        <v>771</v>
      </c>
      <c r="L11" s="88">
        <v>619</v>
      </c>
      <c r="M11" s="92">
        <f>K11/2</f>
        <v>385.5</v>
      </c>
      <c r="N11" s="88">
        <f>M11-451</f>
        <v>-65.5</v>
      </c>
      <c r="O11" s="88" t="s">
        <v>11</v>
      </c>
      <c r="P11" s="88" t="s">
        <v>11</v>
      </c>
      <c r="Q11" s="92" t="s">
        <v>11</v>
      </c>
      <c r="R11" s="88" t="s">
        <v>11</v>
      </c>
    </row>
    <row r="12" spans="1:19" ht="15.95" customHeight="1" x14ac:dyDescent="0.25">
      <c r="A12" s="14" t="s">
        <v>18</v>
      </c>
      <c r="B12" s="17" t="s">
        <v>19</v>
      </c>
      <c r="C12" s="88">
        <v>1000</v>
      </c>
      <c r="D12" s="88">
        <v>993</v>
      </c>
      <c r="E12" s="92">
        <f>C12/3</f>
        <v>333.33333333333331</v>
      </c>
      <c r="F12" s="88">
        <f>E12-548</f>
        <v>-214.66666666666669</v>
      </c>
      <c r="G12" s="88">
        <v>1000</v>
      </c>
      <c r="H12" s="88">
        <v>993</v>
      </c>
      <c r="I12" s="88">
        <v>1000</v>
      </c>
      <c r="J12" s="88">
        <f>I12-1643</f>
        <v>-643</v>
      </c>
      <c r="K12" s="88" t="s">
        <v>11</v>
      </c>
      <c r="L12" s="88" t="s">
        <v>11</v>
      </c>
      <c r="M12" s="92" t="s">
        <v>11</v>
      </c>
      <c r="N12" s="88" t="s">
        <v>11</v>
      </c>
      <c r="O12" s="88" t="s">
        <v>11</v>
      </c>
      <c r="P12" s="88" t="s">
        <v>11</v>
      </c>
      <c r="Q12" s="92" t="s">
        <v>11</v>
      </c>
      <c r="R12" s="88" t="s">
        <v>11</v>
      </c>
    </row>
    <row r="13" spans="1:19" ht="15.95" customHeight="1" x14ac:dyDescent="0.25">
      <c r="A13" s="14" t="s">
        <v>20</v>
      </c>
      <c r="B13" s="17" t="s">
        <v>21</v>
      </c>
      <c r="C13" s="88">
        <v>8253</v>
      </c>
      <c r="D13" s="88">
        <v>8052</v>
      </c>
      <c r="E13" s="92">
        <f>C13/20</f>
        <v>412.65</v>
      </c>
      <c r="F13" s="88">
        <f>E13-406</f>
        <v>6.6499999999999773</v>
      </c>
      <c r="G13" s="88">
        <v>3533</v>
      </c>
      <c r="H13" s="88">
        <v>3533</v>
      </c>
      <c r="I13" s="88">
        <v>3533</v>
      </c>
      <c r="J13" s="88">
        <f>I13-3784</f>
        <v>-251</v>
      </c>
      <c r="K13" s="88">
        <v>424</v>
      </c>
      <c r="L13" s="88">
        <v>317</v>
      </c>
      <c r="M13" s="88">
        <f>K13</f>
        <v>424</v>
      </c>
      <c r="N13" s="88">
        <f>M13-542</f>
        <v>-118</v>
      </c>
      <c r="O13" s="88">
        <v>4296</v>
      </c>
      <c r="P13" s="88">
        <v>4202</v>
      </c>
      <c r="Q13" s="92">
        <f>O13/13</f>
        <v>330.46153846153845</v>
      </c>
      <c r="R13" s="88">
        <f>Q13-301</f>
        <v>29.461538461538453</v>
      </c>
      <c r="S13" s="41"/>
    </row>
    <row r="14" spans="1:19" ht="15.95" customHeight="1" x14ac:dyDescent="0.25">
      <c r="A14" s="14" t="s">
        <v>22</v>
      </c>
      <c r="B14" s="17" t="s">
        <v>23</v>
      </c>
      <c r="C14" s="88">
        <v>11637</v>
      </c>
      <c r="D14" s="88">
        <v>11637</v>
      </c>
      <c r="E14" s="92">
        <f>C14/22</f>
        <v>528.9545454545455</v>
      </c>
      <c r="F14" s="88">
        <f>E14-651</f>
        <v>-122.0454545454545</v>
      </c>
      <c r="G14" s="88">
        <v>3262</v>
      </c>
      <c r="H14" s="88">
        <v>3262</v>
      </c>
      <c r="I14" s="88">
        <v>3262</v>
      </c>
      <c r="J14" s="88">
        <f>I14-5126</f>
        <v>-1864</v>
      </c>
      <c r="K14" s="88" t="s">
        <v>11</v>
      </c>
      <c r="L14" s="88" t="s">
        <v>11</v>
      </c>
      <c r="M14" s="92" t="s">
        <v>11</v>
      </c>
      <c r="N14" s="88" t="s">
        <v>11</v>
      </c>
      <c r="O14" s="88">
        <v>8375</v>
      </c>
      <c r="P14" s="88">
        <v>8375</v>
      </c>
      <c r="Q14" s="92">
        <f>O14/21</f>
        <v>398.8095238095238</v>
      </c>
      <c r="R14" s="88">
        <f>Q14-437</f>
        <v>-38.190476190476204</v>
      </c>
      <c r="S14" s="41"/>
    </row>
    <row r="15" spans="1:19" ht="15.95" customHeight="1" x14ac:dyDescent="0.25">
      <c r="A15" s="164" t="s">
        <v>30</v>
      </c>
      <c r="B15" s="164"/>
      <c r="C15" s="19">
        <f t="shared" ref="C15:R15" si="0">SUM(C8:C14)</f>
        <v>112840</v>
      </c>
      <c r="D15" s="19">
        <f t="shared" si="0"/>
        <v>112259</v>
      </c>
      <c r="E15" s="19">
        <f t="shared" si="0"/>
        <v>8722.8245454545468</v>
      </c>
      <c r="F15" s="19">
        <f t="shared" si="0"/>
        <v>-559.17545454545416</v>
      </c>
      <c r="G15" s="19">
        <f t="shared" si="0"/>
        <v>38771</v>
      </c>
      <c r="H15" s="19">
        <f t="shared" si="0"/>
        <v>38581</v>
      </c>
      <c r="I15" s="19">
        <f t="shared" si="0"/>
        <v>38771</v>
      </c>
      <c r="J15" s="19">
        <f t="shared" si="0"/>
        <v>-3311</v>
      </c>
      <c r="K15" s="19">
        <f t="shared" si="0"/>
        <v>52916</v>
      </c>
      <c r="L15" s="19">
        <f t="shared" si="0"/>
        <v>52653</v>
      </c>
      <c r="M15" s="19">
        <f t="shared" si="0"/>
        <v>6135.954545454545</v>
      </c>
      <c r="N15" s="19">
        <f t="shared" si="0"/>
        <v>-478.04545454545496</v>
      </c>
      <c r="O15" s="19">
        <f t="shared" si="0"/>
        <v>21153</v>
      </c>
      <c r="P15" s="19">
        <f t="shared" si="0"/>
        <v>21025</v>
      </c>
      <c r="Q15" s="19">
        <f t="shared" si="0"/>
        <v>1144.7155067155068</v>
      </c>
      <c r="R15" s="19">
        <f t="shared" si="0"/>
        <v>32.715506715506706</v>
      </c>
    </row>
    <row r="16" spans="1:19" ht="15.95" customHeight="1" x14ac:dyDescent="0.25">
      <c r="A16" s="164" t="s">
        <v>32</v>
      </c>
      <c r="B16" s="164"/>
      <c r="C16" s="19">
        <f>C15/105</f>
        <v>1074.6666666666667</v>
      </c>
      <c r="D16" s="19">
        <f>D15/105</f>
        <v>1069.1333333333334</v>
      </c>
      <c r="E16" s="19">
        <f>E15/105</f>
        <v>83.074519480519498</v>
      </c>
      <c r="F16" s="19">
        <f>F15/105</f>
        <v>-5.3254805194805162</v>
      </c>
      <c r="G16" s="19">
        <f t="shared" ref="G16:J16" si="1">G15/7</f>
        <v>5538.7142857142853</v>
      </c>
      <c r="H16" s="19">
        <f t="shared" si="1"/>
        <v>5511.5714285714284</v>
      </c>
      <c r="I16" s="19">
        <f t="shared" si="1"/>
        <v>5538.7142857142853</v>
      </c>
      <c r="J16" s="19">
        <f t="shared" si="1"/>
        <v>-473</v>
      </c>
      <c r="K16" s="19">
        <f>K15/16</f>
        <v>3307.25</v>
      </c>
      <c r="L16" s="19">
        <f>L15/16</f>
        <v>3290.8125</v>
      </c>
      <c r="M16" s="19">
        <f>M15/16</f>
        <v>383.49715909090907</v>
      </c>
      <c r="N16" s="19">
        <f>N15/16</f>
        <v>-29.877840909090935</v>
      </c>
      <c r="O16" s="19">
        <f>O15/74</f>
        <v>285.85135135135135</v>
      </c>
      <c r="P16" s="19">
        <f>P15/74</f>
        <v>284.12162162162161</v>
      </c>
      <c r="Q16" s="19">
        <f>Q15/74</f>
        <v>15.469128469128469</v>
      </c>
      <c r="R16" s="19">
        <f>R15/74</f>
        <v>0.44210144210144198</v>
      </c>
    </row>
    <row r="17" spans="1:19" ht="15.95" customHeight="1" x14ac:dyDescent="0.25">
      <c r="A17" s="140" t="s">
        <v>24</v>
      </c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2"/>
    </row>
    <row r="18" spans="1:19" ht="15.95" customHeight="1" x14ac:dyDescent="0.25">
      <c r="A18" s="14" t="s">
        <v>8</v>
      </c>
      <c r="B18" s="17" t="s">
        <v>25</v>
      </c>
      <c r="C18" s="88">
        <v>4508</v>
      </c>
      <c r="D18" s="88">
        <v>4324</v>
      </c>
      <c r="E18" s="92">
        <f>C18/25</f>
        <v>180.32</v>
      </c>
      <c r="F18" s="88">
        <f>E18-180</f>
        <v>0.31999999999999318</v>
      </c>
      <c r="G18" s="88">
        <v>2366</v>
      </c>
      <c r="H18" s="88">
        <v>2283</v>
      </c>
      <c r="I18" s="88">
        <v>2366</v>
      </c>
      <c r="J18" s="88">
        <f>I18-2339</f>
        <v>27</v>
      </c>
      <c r="K18" s="88">
        <v>40</v>
      </c>
      <c r="L18" s="88">
        <v>40</v>
      </c>
      <c r="M18" s="92">
        <f>K18</f>
        <v>40</v>
      </c>
      <c r="N18" s="88">
        <f>M18-14</f>
        <v>26</v>
      </c>
      <c r="O18" s="88">
        <v>2102</v>
      </c>
      <c r="P18" s="88">
        <v>2001</v>
      </c>
      <c r="Q18" s="92">
        <f>O18/23</f>
        <v>91.391304347826093</v>
      </c>
      <c r="R18" s="88">
        <f>Q18-93</f>
        <v>-1.6086956521739069</v>
      </c>
      <c r="S18" s="41"/>
    </row>
    <row r="19" spans="1:19" ht="15.95" customHeight="1" x14ac:dyDescent="0.25">
      <c r="A19" s="14" t="s">
        <v>12</v>
      </c>
      <c r="B19" s="17" t="s">
        <v>26</v>
      </c>
      <c r="C19" s="88">
        <v>2204</v>
      </c>
      <c r="D19" s="88">
        <v>2190</v>
      </c>
      <c r="E19" s="92">
        <f>C19/9</f>
        <v>244.88888888888889</v>
      </c>
      <c r="F19" s="88">
        <f>E19-199</f>
        <v>45.888888888888886</v>
      </c>
      <c r="G19" s="88">
        <v>1652</v>
      </c>
      <c r="H19" s="88">
        <v>1652</v>
      </c>
      <c r="I19" s="88">
        <v>1652</v>
      </c>
      <c r="J19" s="88">
        <f>I19-1278</f>
        <v>374</v>
      </c>
      <c r="K19" s="88" t="s">
        <v>11</v>
      </c>
      <c r="L19" s="88" t="s">
        <v>11</v>
      </c>
      <c r="M19" s="92" t="s">
        <v>11</v>
      </c>
      <c r="N19" s="88" t="s">
        <v>11</v>
      </c>
      <c r="O19" s="88">
        <v>552</v>
      </c>
      <c r="P19" s="88">
        <v>538</v>
      </c>
      <c r="Q19" s="92">
        <f>O19/8</f>
        <v>69</v>
      </c>
      <c r="R19" s="88">
        <f>Q19-64</f>
        <v>5</v>
      </c>
      <c r="S19" s="41"/>
    </row>
    <row r="20" spans="1:19" ht="15.95" customHeight="1" x14ac:dyDescent="0.25">
      <c r="A20" s="14" t="s">
        <v>14</v>
      </c>
      <c r="B20" s="17" t="s">
        <v>27</v>
      </c>
      <c r="C20" s="88">
        <v>2316</v>
      </c>
      <c r="D20" s="88">
        <v>2202</v>
      </c>
      <c r="E20" s="92">
        <f>C20/24</f>
        <v>96.5</v>
      </c>
      <c r="F20" s="88">
        <f>E20-87</f>
        <v>9.5</v>
      </c>
      <c r="G20" s="88">
        <v>0</v>
      </c>
      <c r="H20" s="88">
        <v>0</v>
      </c>
      <c r="I20" s="88">
        <v>0</v>
      </c>
      <c r="J20" s="88">
        <f>I20-0</f>
        <v>0</v>
      </c>
      <c r="K20" s="88" t="s">
        <v>11</v>
      </c>
      <c r="L20" s="88" t="s">
        <v>11</v>
      </c>
      <c r="M20" s="92" t="s">
        <v>11</v>
      </c>
      <c r="N20" s="88" t="s">
        <v>11</v>
      </c>
      <c r="O20" s="88">
        <v>2316</v>
      </c>
      <c r="P20" s="88">
        <v>2202</v>
      </c>
      <c r="Q20" s="92">
        <f>O20/23</f>
        <v>100.69565217391305</v>
      </c>
      <c r="R20" s="88">
        <f>Q20-91</f>
        <v>9.6956521739130466</v>
      </c>
      <c r="S20" s="41"/>
    </row>
    <row r="21" spans="1:19" ht="15.95" customHeight="1" x14ac:dyDescent="0.25">
      <c r="A21" s="14" t="s">
        <v>16</v>
      </c>
      <c r="B21" s="17" t="s">
        <v>28</v>
      </c>
      <c r="C21" s="88">
        <v>10472</v>
      </c>
      <c r="D21" s="88">
        <v>10363</v>
      </c>
      <c r="E21" s="92">
        <f>C21/29</f>
        <v>361.10344827586209</v>
      </c>
      <c r="F21" s="88">
        <f>E21-276</f>
        <v>85.103448275862092</v>
      </c>
      <c r="G21" s="88">
        <v>1561</v>
      </c>
      <c r="H21" s="88">
        <v>1501</v>
      </c>
      <c r="I21" s="88">
        <v>1561</v>
      </c>
      <c r="J21" s="88">
        <f>I21-607</f>
        <v>954</v>
      </c>
      <c r="K21" s="88">
        <v>1457</v>
      </c>
      <c r="L21" s="88">
        <v>1457</v>
      </c>
      <c r="M21" s="92">
        <f>K21/2</f>
        <v>728.5</v>
      </c>
      <c r="N21" s="88">
        <f>M21-558</f>
        <v>170.5</v>
      </c>
      <c r="O21" s="88">
        <v>7454</v>
      </c>
      <c r="P21" s="88">
        <v>7405</v>
      </c>
      <c r="Q21" s="92">
        <f>O21/24</f>
        <v>310.58333333333331</v>
      </c>
      <c r="R21" s="88">
        <f>Q21-262</f>
        <v>48.583333333333314</v>
      </c>
      <c r="S21" s="41"/>
    </row>
    <row r="22" spans="1:19" ht="15.95" customHeight="1" x14ac:dyDescent="0.25">
      <c r="A22" s="164" t="s">
        <v>30</v>
      </c>
      <c r="B22" s="164"/>
      <c r="C22" s="19">
        <f t="shared" ref="C22:R22" si="2">SUM(C18:C21)</f>
        <v>19500</v>
      </c>
      <c r="D22" s="19">
        <f t="shared" si="2"/>
        <v>19079</v>
      </c>
      <c r="E22" s="19">
        <f t="shared" si="2"/>
        <v>882.81233716475094</v>
      </c>
      <c r="F22" s="19">
        <f t="shared" si="2"/>
        <v>140.81233716475097</v>
      </c>
      <c r="G22" s="19">
        <f t="shared" si="2"/>
        <v>5579</v>
      </c>
      <c r="H22" s="19">
        <f t="shared" si="2"/>
        <v>5436</v>
      </c>
      <c r="I22" s="19">
        <f t="shared" si="2"/>
        <v>5579</v>
      </c>
      <c r="J22" s="19">
        <f t="shared" si="2"/>
        <v>1355</v>
      </c>
      <c r="K22" s="19">
        <f t="shared" si="2"/>
        <v>1497</v>
      </c>
      <c r="L22" s="19">
        <f t="shared" si="2"/>
        <v>1497</v>
      </c>
      <c r="M22" s="19">
        <f t="shared" si="2"/>
        <v>768.5</v>
      </c>
      <c r="N22" s="19">
        <f t="shared" si="2"/>
        <v>196.5</v>
      </c>
      <c r="O22" s="19">
        <f t="shared" si="2"/>
        <v>12424</v>
      </c>
      <c r="P22" s="19">
        <f t="shared" si="2"/>
        <v>12146</v>
      </c>
      <c r="Q22" s="19">
        <f t="shared" si="2"/>
        <v>571.6702898550725</v>
      </c>
      <c r="R22" s="19">
        <f t="shared" si="2"/>
        <v>61.670289855072454</v>
      </c>
    </row>
    <row r="23" spans="1:19" ht="15.95" customHeight="1" x14ac:dyDescent="0.25">
      <c r="A23" s="164" t="s">
        <v>32</v>
      </c>
      <c r="B23" s="164"/>
      <c r="C23" s="19">
        <f>C22/87</f>
        <v>224.13793103448276</v>
      </c>
      <c r="D23" s="19">
        <f>D22/87</f>
        <v>219.29885057471265</v>
      </c>
      <c r="E23" s="19">
        <f>E22/87</f>
        <v>10.147268243272999</v>
      </c>
      <c r="F23" s="19">
        <f>F22/87</f>
        <v>1.6185326110890916</v>
      </c>
      <c r="G23" s="19">
        <f t="shared" ref="G23:J23" si="3">G22/4</f>
        <v>1394.75</v>
      </c>
      <c r="H23" s="19">
        <f t="shared" si="3"/>
        <v>1359</v>
      </c>
      <c r="I23" s="19">
        <f t="shared" si="3"/>
        <v>1394.75</v>
      </c>
      <c r="J23" s="19">
        <f t="shared" si="3"/>
        <v>338.75</v>
      </c>
      <c r="K23" s="19">
        <f>K22/3</f>
        <v>499</v>
      </c>
      <c r="L23" s="19">
        <f>L22/3</f>
        <v>499</v>
      </c>
      <c r="M23" s="19">
        <f>M22/3</f>
        <v>256.16666666666669</v>
      </c>
      <c r="N23" s="19">
        <f>N22/3</f>
        <v>65.5</v>
      </c>
      <c r="O23" s="19">
        <f>O22/78</f>
        <v>159.28205128205127</v>
      </c>
      <c r="P23" s="19">
        <f>P22/78</f>
        <v>155.71794871794873</v>
      </c>
      <c r="Q23" s="19">
        <f>Q22/78</f>
        <v>7.329106280193237</v>
      </c>
      <c r="R23" s="19">
        <f>R22/78</f>
        <v>0.79064474173169808</v>
      </c>
    </row>
    <row r="24" spans="1:19" ht="27.75" customHeight="1" x14ac:dyDescent="0.25">
      <c r="A24" s="165" t="s">
        <v>29</v>
      </c>
      <c r="B24" s="165"/>
      <c r="C24" s="48">
        <f t="shared" ref="C24:R24" si="4">SUM(C15,C22)</f>
        <v>132340</v>
      </c>
      <c r="D24" s="48">
        <f t="shared" si="4"/>
        <v>131338</v>
      </c>
      <c r="E24" s="48">
        <f t="shared" si="4"/>
        <v>9605.6368826192975</v>
      </c>
      <c r="F24" s="48">
        <f>SUM(F15,F22)</f>
        <v>-418.36311738070322</v>
      </c>
      <c r="G24" s="48">
        <f t="shared" si="4"/>
        <v>44350</v>
      </c>
      <c r="H24" s="48">
        <f t="shared" si="4"/>
        <v>44017</v>
      </c>
      <c r="I24" s="48">
        <f t="shared" si="4"/>
        <v>44350</v>
      </c>
      <c r="J24" s="48">
        <f t="shared" si="4"/>
        <v>-1956</v>
      </c>
      <c r="K24" s="48">
        <f t="shared" si="4"/>
        <v>54413</v>
      </c>
      <c r="L24" s="48">
        <f t="shared" si="4"/>
        <v>54150</v>
      </c>
      <c r="M24" s="48">
        <f t="shared" si="4"/>
        <v>6904.454545454545</v>
      </c>
      <c r="N24" s="48">
        <f t="shared" si="4"/>
        <v>-281.54545454545496</v>
      </c>
      <c r="O24" s="48">
        <f t="shared" si="4"/>
        <v>33577</v>
      </c>
      <c r="P24" s="48">
        <f t="shared" si="4"/>
        <v>33171</v>
      </c>
      <c r="Q24" s="48">
        <f t="shared" si="4"/>
        <v>1716.3857965705793</v>
      </c>
      <c r="R24" s="48">
        <f t="shared" si="4"/>
        <v>94.38579657057916</v>
      </c>
    </row>
    <row r="25" spans="1:19" ht="31.5" customHeight="1" x14ac:dyDescent="0.25">
      <c r="A25" s="165" t="s">
        <v>31</v>
      </c>
      <c r="B25" s="165"/>
      <c r="C25" s="48">
        <f>C24/192</f>
        <v>689.27083333333337</v>
      </c>
      <c r="D25" s="48">
        <f>D24/192</f>
        <v>684.05208333333337</v>
      </c>
      <c r="E25" s="48">
        <f>E24/192</f>
        <v>50.029358763642172</v>
      </c>
      <c r="F25" s="58">
        <f>F24/192</f>
        <v>-2.1789745696911624</v>
      </c>
      <c r="G25" s="48">
        <f t="shared" ref="G25:J25" si="5">G24/11</f>
        <v>4031.818181818182</v>
      </c>
      <c r="H25" s="48">
        <f t="shared" si="5"/>
        <v>4001.5454545454545</v>
      </c>
      <c r="I25" s="48">
        <f t="shared" si="5"/>
        <v>4031.818181818182</v>
      </c>
      <c r="J25" s="48">
        <f t="shared" si="5"/>
        <v>-177.81818181818181</v>
      </c>
      <c r="K25" s="48">
        <f>K24/19</f>
        <v>2863.8421052631579</v>
      </c>
      <c r="L25" s="48">
        <f>L24/19</f>
        <v>2850</v>
      </c>
      <c r="M25" s="48">
        <f>M24/19</f>
        <v>363.39234449760761</v>
      </c>
      <c r="N25" s="48">
        <f>N24/19</f>
        <v>-14.81818181818184</v>
      </c>
      <c r="O25" s="48">
        <f>O24/152</f>
        <v>220.90131578947367</v>
      </c>
      <c r="P25" s="48">
        <f>P24/152</f>
        <v>218.23026315789474</v>
      </c>
      <c r="Q25" s="48">
        <f>Q24/152</f>
        <v>11.292011819543285</v>
      </c>
      <c r="R25" s="58">
        <f>R24/152</f>
        <v>0.62095918796433658</v>
      </c>
    </row>
    <row r="26" spans="1:19" x14ac:dyDescent="0.25">
      <c r="O26" s="63"/>
    </row>
    <row r="27" spans="1:19" x14ac:dyDescent="0.25">
      <c r="O27" s="63"/>
    </row>
    <row r="36" spans="20:20" x14ac:dyDescent="0.25">
      <c r="T36" t="s">
        <v>79</v>
      </c>
    </row>
  </sheetData>
  <mergeCells count="31">
    <mergeCell ref="A24:B24"/>
    <mergeCell ref="B4:B6"/>
    <mergeCell ref="A25:B25"/>
    <mergeCell ref="D5:D6"/>
    <mergeCell ref="H5:H6"/>
    <mergeCell ref="A17:R17"/>
    <mergeCell ref="A22:B22"/>
    <mergeCell ref="A23:B23"/>
    <mergeCell ref="A7:R7"/>
    <mergeCell ref="A15:B15"/>
    <mergeCell ref="A16:B16"/>
    <mergeCell ref="K5:K6"/>
    <mergeCell ref="M5:M6"/>
    <mergeCell ref="O5:O6"/>
    <mergeCell ref="Q5:Q6"/>
    <mergeCell ref="A4:A6"/>
    <mergeCell ref="A2:R2"/>
    <mergeCell ref="K4:N4"/>
    <mergeCell ref="O4:R4"/>
    <mergeCell ref="C5:C6"/>
    <mergeCell ref="E5:E6"/>
    <mergeCell ref="G5:G6"/>
    <mergeCell ref="I5:I6"/>
    <mergeCell ref="C4:F4"/>
    <mergeCell ref="G4:J4"/>
    <mergeCell ref="J5:J6"/>
    <mergeCell ref="F5:F6"/>
    <mergeCell ref="N5:N6"/>
    <mergeCell ref="R5:R6"/>
    <mergeCell ref="L5:L6"/>
    <mergeCell ref="P5:P6"/>
  </mergeCells>
  <pageMargins left="0.7" right="0.7" top="0.75" bottom="0.75" header="0.3" footer="0.3"/>
  <pageSetup paperSize="9" orientation="portrait" r:id="rId1"/>
  <ignoredErrors>
    <ignoredError sqref="Q19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0"/>
  </sheetPr>
  <dimension ref="A2:R44"/>
  <sheetViews>
    <sheetView topLeftCell="A4" workbookViewId="0">
      <selection activeCell="R25" sqref="R25"/>
    </sheetView>
  </sheetViews>
  <sheetFormatPr defaultRowHeight="15" x14ac:dyDescent="0.25"/>
  <cols>
    <col min="1" max="1" width="4" customWidth="1"/>
    <col min="2" max="2" width="28.42578125" customWidth="1"/>
    <col min="3" max="3" width="8.85546875" customWidth="1"/>
    <col min="4" max="4" width="8.140625" customWidth="1"/>
    <col min="5" max="5" width="14.42578125" customWidth="1"/>
    <col min="6" max="6" width="18" customWidth="1"/>
    <col min="7" max="7" width="9" customWidth="1"/>
    <col min="8" max="8" width="8.140625" customWidth="1"/>
    <col min="9" max="9" width="14.42578125" customWidth="1"/>
    <col min="10" max="10" width="18" customWidth="1"/>
    <col min="11" max="11" width="8.85546875" customWidth="1"/>
    <col min="12" max="12" width="8.140625" customWidth="1"/>
    <col min="13" max="13" width="14.5703125" customWidth="1"/>
    <col min="14" max="14" width="18.140625" customWidth="1"/>
    <col min="15" max="15" width="8.85546875" customWidth="1"/>
    <col min="16" max="16" width="8.140625" customWidth="1"/>
    <col min="17" max="17" width="14.42578125" customWidth="1"/>
    <col min="18" max="18" width="18" customWidth="1"/>
  </cols>
  <sheetData>
    <row r="2" spans="1:18" ht="15.75" x14ac:dyDescent="0.25">
      <c r="A2" s="174" t="s">
        <v>103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 ht="15.75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18" ht="15.95" customHeight="1" x14ac:dyDescent="0.25">
      <c r="A4" s="117" t="s">
        <v>0</v>
      </c>
      <c r="B4" s="117" t="s">
        <v>1</v>
      </c>
      <c r="C4" s="167" t="s">
        <v>47</v>
      </c>
      <c r="D4" s="168"/>
      <c r="E4" s="168"/>
      <c r="F4" s="169"/>
      <c r="G4" s="167" t="s">
        <v>3</v>
      </c>
      <c r="H4" s="168"/>
      <c r="I4" s="168"/>
      <c r="J4" s="169"/>
      <c r="K4" s="167" t="s">
        <v>45</v>
      </c>
      <c r="L4" s="168"/>
      <c r="M4" s="168"/>
      <c r="N4" s="169"/>
      <c r="O4" s="167" t="s">
        <v>46</v>
      </c>
      <c r="P4" s="168"/>
      <c r="Q4" s="168"/>
      <c r="R4" s="169"/>
    </row>
    <row r="5" spans="1:18" ht="15.95" customHeight="1" x14ac:dyDescent="0.25">
      <c r="A5" s="117"/>
      <c r="B5" s="117"/>
      <c r="C5" s="117" t="s">
        <v>76</v>
      </c>
      <c r="D5" s="145" t="s">
        <v>78</v>
      </c>
      <c r="E5" s="145" t="s">
        <v>77</v>
      </c>
      <c r="F5" s="145" t="s">
        <v>104</v>
      </c>
      <c r="G5" s="117" t="s">
        <v>76</v>
      </c>
      <c r="H5" s="145" t="s">
        <v>78</v>
      </c>
      <c r="I5" s="145" t="s">
        <v>77</v>
      </c>
      <c r="J5" s="145" t="s">
        <v>104</v>
      </c>
      <c r="K5" s="117" t="s">
        <v>76</v>
      </c>
      <c r="L5" s="145" t="s">
        <v>78</v>
      </c>
      <c r="M5" s="145" t="s">
        <v>77</v>
      </c>
      <c r="N5" s="145" t="s">
        <v>104</v>
      </c>
      <c r="O5" s="117" t="s">
        <v>76</v>
      </c>
      <c r="P5" s="145" t="s">
        <v>78</v>
      </c>
      <c r="Q5" s="145" t="s">
        <v>77</v>
      </c>
      <c r="R5" s="145" t="s">
        <v>104</v>
      </c>
    </row>
    <row r="6" spans="1:18" ht="45" customHeight="1" x14ac:dyDescent="0.25">
      <c r="A6" s="117"/>
      <c r="B6" s="117"/>
      <c r="C6" s="117"/>
      <c r="D6" s="146"/>
      <c r="E6" s="146"/>
      <c r="F6" s="146"/>
      <c r="G6" s="117"/>
      <c r="H6" s="146"/>
      <c r="I6" s="146"/>
      <c r="J6" s="146"/>
      <c r="K6" s="117"/>
      <c r="L6" s="146"/>
      <c r="M6" s="146"/>
      <c r="N6" s="146"/>
      <c r="O6" s="117"/>
      <c r="P6" s="146"/>
      <c r="Q6" s="146"/>
      <c r="R6" s="146"/>
    </row>
    <row r="7" spans="1:18" ht="15.95" customHeight="1" x14ac:dyDescent="0.25">
      <c r="A7" s="140" t="s">
        <v>7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2"/>
      <c r="R7" s="42"/>
    </row>
    <row r="8" spans="1:18" ht="15.95" customHeight="1" x14ac:dyDescent="0.25">
      <c r="A8" s="14" t="s">
        <v>8</v>
      </c>
      <c r="B8" s="17" t="s">
        <v>9</v>
      </c>
      <c r="C8" s="77">
        <v>2154</v>
      </c>
      <c r="D8" s="89">
        <v>366</v>
      </c>
      <c r="E8" s="77">
        <f>C8/12</f>
        <v>179.5</v>
      </c>
      <c r="F8" s="77">
        <f>E8-119</f>
        <v>60.5</v>
      </c>
      <c r="G8" s="77">
        <v>934</v>
      </c>
      <c r="H8" s="77">
        <v>103</v>
      </c>
      <c r="I8" s="88">
        <f t="shared" ref="I8:I14" si="0">G8</f>
        <v>934</v>
      </c>
      <c r="J8" s="88">
        <f>I8-631</f>
        <v>303</v>
      </c>
      <c r="K8" s="77">
        <f>1182+38</f>
        <v>1220</v>
      </c>
      <c r="L8" s="77">
        <f>245+18</f>
        <v>263</v>
      </c>
      <c r="M8" s="77">
        <f>K8/11</f>
        <v>110.90909090909091</v>
      </c>
      <c r="N8" s="88">
        <f>M8-72</f>
        <v>38.909090909090907</v>
      </c>
      <c r="O8" s="77" t="s">
        <v>11</v>
      </c>
      <c r="P8" s="77" t="s">
        <v>11</v>
      </c>
      <c r="Q8" s="77" t="s">
        <v>11</v>
      </c>
      <c r="R8" s="88" t="s">
        <v>11</v>
      </c>
    </row>
    <row r="9" spans="1:18" ht="15.95" customHeight="1" x14ac:dyDescent="0.25">
      <c r="A9" s="14" t="s">
        <v>12</v>
      </c>
      <c r="B9" s="17" t="s">
        <v>13</v>
      </c>
      <c r="C9" s="77">
        <v>817</v>
      </c>
      <c r="D9" s="89">
        <v>363</v>
      </c>
      <c r="E9" s="75">
        <f>C9/25</f>
        <v>32.68</v>
      </c>
      <c r="F9" s="77">
        <f>E9-40.9</f>
        <v>-8.2199999999999989</v>
      </c>
      <c r="G9" s="77">
        <v>194</v>
      </c>
      <c r="H9" s="77">
        <v>88</v>
      </c>
      <c r="I9" s="88">
        <f t="shared" si="0"/>
        <v>194</v>
      </c>
      <c r="J9" s="88">
        <f>I9-195</f>
        <v>-1</v>
      </c>
      <c r="K9" s="77">
        <v>46</v>
      </c>
      <c r="L9" s="77">
        <v>35</v>
      </c>
      <c r="M9" s="77">
        <f>K9/1</f>
        <v>46</v>
      </c>
      <c r="N9" s="88">
        <f>M9-66</f>
        <v>-20</v>
      </c>
      <c r="O9" s="77">
        <v>577</v>
      </c>
      <c r="P9" s="77">
        <v>240</v>
      </c>
      <c r="Q9" s="77">
        <f>O9/22</f>
        <v>26.227272727272727</v>
      </c>
      <c r="R9" s="88">
        <f>Q9-33</f>
        <v>-6.7727272727272734</v>
      </c>
    </row>
    <row r="10" spans="1:18" ht="15.95" customHeight="1" x14ac:dyDescent="0.25">
      <c r="A10" s="14" t="s">
        <v>14</v>
      </c>
      <c r="B10" s="17" t="s">
        <v>15</v>
      </c>
      <c r="C10" s="77">
        <v>1540</v>
      </c>
      <c r="D10" s="89">
        <v>580</v>
      </c>
      <c r="E10" s="77">
        <f>C10/20</f>
        <v>77</v>
      </c>
      <c r="F10" s="77">
        <f>E10-64</f>
        <v>13</v>
      </c>
      <c r="G10" s="77">
        <v>478</v>
      </c>
      <c r="H10" s="77">
        <v>73</v>
      </c>
      <c r="I10" s="88">
        <f t="shared" si="0"/>
        <v>478</v>
      </c>
      <c r="J10" s="88">
        <f>I10-371</f>
        <v>107</v>
      </c>
      <c r="K10" s="77">
        <v>89</v>
      </c>
      <c r="L10" s="77">
        <v>53</v>
      </c>
      <c r="M10" s="77">
        <f>K10/1</f>
        <v>89</v>
      </c>
      <c r="N10" s="88">
        <f>M10-98</f>
        <v>-9</v>
      </c>
      <c r="O10" s="77">
        <v>973</v>
      </c>
      <c r="P10" s="77">
        <v>454</v>
      </c>
      <c r="Q10" s="77">
        <f>O10/18</f>
        <v>54.055555555555557</v>
      </c>
      <c r="R10" s="88">
        <f>Q10-45</f>
        <v>9.0555555555555571</v>
      </c>
    </row>
    <row r="11" spans="1:18" ht="15.95" customHeight="1" x14ac:dyDescent="0.25">
      <c r="A11" s="14" t="s">
        <v>16</v>
      </c>
      <c r="B11" s="17" t="s">
        <v>17</v>
      </c>
      <c r="C11" s="77">
        <v>83</v>
      </c>
      <c r="D11" s="89">
        <v>41</v>
      </c>
      <c r="E11" s="77">
        <f>C11/3</f>
        <v>27.666666666666668</v>
      </c>
      <c r="F11" s="77">
        <f>E11-20</f>
        <v>7.6666666666666679</v>
      </c>
      <c r="G11" s="77">
        <v>46</v>
      </c>
      <c r="H11" s="77">
        <v>16</v>
      </c>
      <c r="I11" s="88">
        <f t="shared" si="0"/>
        <v>46</v>
      </c>
      <c r="J11" s="88">
        <f>I11-45</f>
        <v>1</v>
      </c>
      <c r="K11" s="77">
        <v>37</v>
      </c>
      <c r="L11" s="77">
        <v>25</v>
      </c>
      <c r="M11" s="77">
        <f>K11/2</f>
        <v>18.5</v>
      </c>
      <c r="N11" s="88">
        <f>M11-8</f>
        <v>10.5</v>
      </c>
      <c r="O11" s="77" t="s">
        <v>11</v>
      </c>
      <c r="P11" s="77" t="s">
        <v>11</v>
      </c>
      <c r="Q11" s="77" t="s">
        <v>11</v>
      </c>
      <c r="R11" s="88" t="s">
        <v>11</v>
      </c>
    </row>
    <row r="12" spans="1:18" ht="15.95" customHeight="1" x14ac:dyDescent="0.25">
      <c r="A12" s="14" t="s">
        <v>18</v>
      </c>
      <c r="B12" s="17" t="s">
        <v>19</v>
      </c>
      <c r="C12" s="77">
        <v>160</v>
      </c>
      <c r="D12" s="90">
        <v>57</v>
      </c>
      <c r="E12" s="77">
        <f>C12/3</f>
        <v>53.333333333333336</v>
      </c>
      <c r="F12" s="77">
        <f>E12-38</f>
        <v>15.333333333333336</v>
      </c>
      <c r="G12" s="77">
        <v>160</v>
      </c>
      <c r="H12" s="77">
        <v>57</v>
      </c>
      <c r="I12" s="88">
        <f t="shared" si="0"/>
        <v>160</v>
      </c>
      <c r="J12" s="88">
        <f>I12-115</f>
        <v>45</v>
      </c>
      <c r="K12" s="77" t="s">
        <v>11</v>
      </c>
      <c r="L12" s="77" t="s">
        <v>11</v>
      </c>
      <c r="M12" s="77" t="s">
        <v>11</v>
      </c>
      <c r="N12" s="88" t="s">
        <v>11</v>
      </c>
      <c r="O12" s="77" t="s">
        <v>11</v>
      </c>
      <c r="P12" s="77" t="s">
        <v>11</v>
      </c>
      <c r="Q12" s="77" t="s">
        <v>11</v>
      </c>
      <c r="R12" s="88" t="s">
        <v>11</v>
      </c>
    </row>
    <row r="13" spans="1:18" ht="15.95" customHeight="1" x14ac:dyDescent="0.25">
      <c r="A13" s="14" t="s">
        <v>20</v>
      </c>
      <c r="B13" s="17" t="s">
        <v>21</v>
      </c>
      <c r="C13" s="77">
        <v>543</v>
      </c>
      <c r="D13" s="89">
        <v>233</v>
      </c>
      <c r="E13" s="77">
        <f>C13/20</f>
        <v>27.15</v>
      </c>
      <c r="F13" s="77">
        <f>E13-24</f>
        <v>3.1499999999999986</v>
      </c>
      <c r="G13" s="77">
        <v>171</v>
      </c>
      <c r="H13" s="77">
        <v>46</v>
      </c>
      <c r="I13" s="88">
        <f t="shared" si="0"/>
        <v>171</v>
      </c>
      <c r="J13" s="88">
        <f>I13-178</f>
        <v>-7</v>
      </c>
      <c r="K13" s="77">
        <v>11</v>
      </c>
      <c r="L13" s="77">
        <v>7</v>
      </c>
      <c r="M13" s="77">
        <f>K13/1</f>
        <v>11</v>
      </c>
      <c r="N13" s="88">
        <f>M13-20</f>
        <v>-9</v>
      </c>
      <c r="O13" s="77">
        <v>361</v>
      </c>
      <c r="P13" s="77">
        <v>180</v>
      </c>
      <c r="Q13" s="77">
        <f>O13/13</f>
        <v>27.76923076923077</v>
      </c>
      <c r="R13" s="88">
        <f>Q13-21</f>
        <v>6.7692307692307701</v>
      </c>
    </row>
    <row r="14" spans="1:18" ht="15.95" customHeight="1" x14ac:dyDescent="0.25">
      <c r="A14" s="14" t="s">
        <v>22</v>
      </c>
      <c r="B14" s="17" t="s">
        <v>23</v>
      </c>
      <c r="C14" s="77">
        <v>1501</v>
      </c>
      <c r="D14" s="89">
        <v>344</v>
      </c>
      <c r="E14" s="75">
        <f>C14/22</f>
        <v>68.227272727272734</v>
      </c>
      <c r="F14" s="77">
        <f>E14-48.5</f>
        <v>19.727272727272734</v>
      </c>
      <c r="G14" s="77">
        <v>854</v>
      </c>
      <c r="H14" s="77">
        <v>46</v>
      </c>
      <c r="I14" s="88">
        <f t="shared" si="0"/>
        <v>854</v>
      </c>
      <c r="J14" s="88">
        <f>I14-504</f>
        <v>350</v>
      </c>
      <c r="K14" s="77" t="s">
        <v>11</v>
      </c>
      <c r="L14" s="77" t="s">
        <v>11</v>
      </c>
      <c r="M14" s="77" t="s">
        <v>11</v>
      </c>
      <c r="N14" s="88" t="s">
        <v>11</v>
      </c>
      <c r="O14" s="77">
        <v>647</v>
      </c>
      <c r="P14" s="77">
        <v>298</v>
      </c>
      <c r="Q14" s="77">
        <f>O14/21</f>
        <v>30.80952380952381</v>
      </c>
      <c r="R14" s="88">
        <f>Q14-27</f>
        <v>3.8095238095238102</v>
      </c>
    </row>
    <row r="15" spans="1:18" ht="15.95" customHeight="1" x14ac:dyDescent="0.25">
      <c r="A15" s="164" t="s">
        <v>30</v>
      </c>
      <c r="B15" s="164"/>
      <c r="C15" s="19">
        <f t="shared" ref="C15:R15" si="1">SUM(C8:C14)</f>
        <v>6798</v>
      </c>
      <c r="D15" s="19">
        <f t="shared" si="1"/>
        <v>1984</v>
      </c>
      <c r="E15" s="19">
        <f t="shared" si="1"/>
        <v>465.55727272727273</v>
      </c>
      <c r="F15" s="19">
        <f t="shared" si="1"/>
        <v>111.15727272727274</v>
      </c>
      <c r="G15" s="19">
        <f t="shared" si="1"/>
        <v>2837</v>
      </c>
      <c r="H15" s="19">
        <f t="shared" si="1"/>
        <v>429</v>
      </c>
      <c r="I15" s="19">
        <f t="shared" si="1"/>
        <v>2837</v>
      </c>
      <c r="J15" s="19">
        <f t="shared" si="1"/>
        <v>798</v>
      </c>
      <c r="K15" s="19">
        <f t="shared" si="1"/>
        <v>1403</v>
      </c>
      <c r="L15" s="19">
        <f t="shared" si="1"/>
        <v>383</v>
      </c>
      <c r="M15" s="19">
        <f t="shared" si="1"/>
        <v>275.40909090909088</v>
      </c>
      <c r="N15" s="19">
        <f t="shared" si="1"/>
        <v>11.409090909090907</v>
      </c>
      <c r="O15" s="19">
        <f t="shared" si="1"/>
        <v>2558</v>
      </c>
      <c r="P15" s="19">
        <f t="shared" si="1"/>
        <v>1172</v>
      </c>
      <c r="Q15" s="19">
        <f t="shared" si="1"/>
        <v>138.86158286158286</v>
      </c>
      <c r="R15" s="19">
        <f t="shared" si="1"/>
        <v>12.861582861582864</v>
      </c>
    </row>
    <row r="16" spans="1:18" ht="15.95" customHeight="1" x14ac:dyDescent="0.25">
      <c r="A16" s="164" t="s">
        <v>32</v>
      </c>
      <c r="B16" s="164"/>
      <c r="C16" s="19">
        <f>C15/105</f>
        <v>64.742857142857147</v>
      </c>
      <c r="D16" s="19">
        <f>D15/105</f>
        <v>18.895238095238096</v>
      </c>
      <c r="E16" s="37">
        <f>E15/105</f>
        <v>4.433878787878788</v>
      </c>
      <c r="F16" s="37">
        <f>F15/105</f>
        <v>1.0586406926406928</v>
      </c>
      <c r="G16" s="19">
        <f t="shared" ref="G16:J16" si="2">G15/7</f>
        <v>405.28571428571428</v>
      </c>
      <c r="H16" s="19">
        <f t="shared" si="2"/>
        <v>61.285714285714285</v>
      </c>
      <c r="I16" s="19">
        <f t="shared" si="2"/>
        <v>405.28571428571428</v>
      </c>
      <c r="J16" s="19">
        <f t="shared" si="2"/>
        <v>114</v>
      </c>
      <c r="K16" s="19">
        <f>K15/16</f>
        <v>87.6875</v>
      </c>
      <c r="L16" s="19">
        <f>L15/16</f>
        <v>23.9375</v>
      </c>
      <c r="M16" s="19">
        <f>M15/16</f>
        <v>17.21306818181818</v>
      </c>
      <c r="N16" s="37">
        <f>N15/16</f>
        <v>0.71306818181818166</v>
      </c>
      <c r="O16" s="19">
        <f>O15/74</f>
        <v>34.567567567567565</v>
      </c>
      <c r="P16" s="19">
        <f>P15/74</f>
        <v>15.837837837837839</v>
      </c>
      <c r="Q16" s="37">
        <f>Q15/74</f>
        <v>1.8765078765078764</v>
      </c>
      <c r="R16" s="37">
        <f>R15/74</f>
        <v>0.17380517380517385</v>
      </c>
    </row>
    <row r="17" spans="1:18" ht="15.95" customHeight="1" x14ac:dyDescent="0.25">
      <c r="A17" s="140" t="s">
        <v>24</v>
      </c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2"/>
      <c r="R17" s="42"/>
    </row>
    <row r="18" spans="1:18" ht="15.95" customHeight="1" x14ac:dyDescent="0.25">
      <c r="A18" s="14" t="s">
        <v>8</v>
      </c>
      <c r="B18" s="17" t="s">
        <v>25</v>
      </c>
      <c r="C18" s="77">
        <v>1211</v>
      </c>
      <c r="D18" s="89">
        <v>391</v>
      </c>
      <c r="E18" s="77">
        <f>C18/25</f>
        <v>48.44</v>
      </c>
      <c r="F18" s="77">
        <f>E18-44</f>
        <v>4.4399999999999977</v>
      </c>
      <c r="G18" s="77">
        <v>210</v>
      </c>
      <c r="H18" s="77">
        <v>77</v>
      </c>
      <c r="I18" s="88">
        <f>G18</f>
        <v>210</v>
      </c>
      <c r="J18" s="88">
        <f>I18-153</f>
        <v>57</v>
      </c>
      <c r="K18" s="77">
        <v>56</v>
      </c>
      <c r="L18" s="77">
        <v>21</v>
      </c>
      <c r="M18" s="77">
        <f>K18/1</f>
        <v>56</v>
      </c>
      <c r="N18" s="88">
        <f>M18-32</f>
        <v>24</v>
      </c>
      <c r="O18" s="77">
        <v>945</v>
      </c>
      <c r="P18" s="77">
        <v>293</v>
      </c>
      <c r="Q18" s="77">
        <f>O18/23</f>
        <v>41.086956521739133</v>
      </c>
      <c r="R18" s="88">
        <f>Q18-40</f>
        <v>1.0869565217391326</v>
      </c>
    </row>
    <row r="19" spans="1:18" ht="15.95" customHeight="1" x14ac:dyDescent="0.25">
      <c r="A19" s="14" t="s">
        <v>12</v>
      </c>
      <c r="B19" s="17" t="s">
        <v>26</v>
      </c>
      <c r="C19" s="77">
        <v>559</v>
      </c>
      <c r="D19" s="89">
        <v>67</v>
      </c>
      <c r="E19" s="75">
        <f>C19/9</f>
        <v>62.111111111111114</v>
      </c>
      <c r="F19" s="77">
        <f>E19-45.1</f>
        <v>17.011111111111113</v>
      </c>
      <c r="G19" s="77">
        <v>140</v>
      </c>
      <c r="H19" s="77">
        <v>21</v>
      </c>
      <c r="I19" s="88">
        <f>G19</f>
        <v>140</v>
      </c>
      <c r="J19" s="88">
        <f>I19-111</f>
        <v>29</v>
      </c>
      <c r="K19" s="77" t="s">
        <v>11</v>
      </c>
      <c r="L19" s="77" t="s">
        <v>11</v>
      </c>
      <c r="M19" s="77" t="s">
        <v>11</v>
      </c>
      <c r="N19" s="88" t="s">
        <v>11</v>
      </c>
      <c r="O19" s="77">
        <v>419</v>
      </c>
      <c r="P19" s="77">
        <v>46</v>
      </c>
      <c r="Q19" s="77">
        <f>O19/8</f>
        <v>52.375</v>
      </c>
      <c r="R19" s="88">
        <f>Q19-37</f>
        <v>15.375</v>
      </c>
    </row>
    <row r="20" spans="1:18" ht="15.95" customHeight="1" x14ac:dyDescent="0.25">
      <c r="A20" s="14" t="s">
        <v>14</v>
      </c>
      <c r="B20" s="17" t="s">
        <v>27</v>
      </c>
      <c r="C20" s="77">
        <v>737</v>
      </c>
      <c r="D20" s="89">
        <v>413</v>
      </c>
      <c r="E20" s="77">
        <f>C20/24</f>
        <v>30.708333333333332</v>
      </c>
      <c r="F20" s="77">
        <f>E20-24</f>
        <v>6.7083333333333321</v>
      </c>
      <c r="G20" s="77">
        <v>175</v>
      </c>
      <c r="H20" s="77">
        <v>51</v>
      </c>
      <c r="I20" s="88">
        <f>G20</f>
        <v>175</v>
      </c>
      <c r="J20" s="88">
        <f>I20-100</f>
        <v>75</v>
      </c>
      <c r="K20" s="77" t="s">
        <v>11</v>
      </c>
      <c r="L20" s="77" t="s">
        <v>11</v>
      </c>
      <c r="M20" s="77" t="s">
        <v>11</v>
      </c>
      <c r="N20" s="88" t="s">
        <v>11</v>
      </c>
      <c r="O20" s="77">
        <v>562</v>
      </c>
      <c r="P20" s="77">
        <v>362</v>
      </c>
      <c r="Q20" s="77">
        <f>O20/23</f>
        <v>24.434782608695652</v>
      </c>
      <c r="R20" s="88">
        <f>Q20-21</f>
        <v>3.4347826086956523</v>
      </c>
    </row>
    <row r="21" spans="1:18" ht="15.95" customHeight="1" x14ac:dyDescent="0.25">
      <c r="A21" s="14" t="s">
        <v>16</v>
      </c>
      <c r="B21" s="17" t="s">
        <v>28</v>
      </c>
      <c r="C21" s="77">
        <v>1036</v>
      </c>
      <c r="D21" s="89">
        <v>386</v>
      </c>
      <c r="E21" s="75">
        <f>C21/29</f>
        <v>35.724137931034484</v>
      </c>
      <c r="F21" s="77">
        <f>E21-32.7</f>
        <v>3.0241379310344811</v>
      </c>
      <c r="G21" s="77">
        <v>159</v>
      </c>
      <c r="H21" s="77">
        <v>21</v>
      </c>
      <c r="I21" s="88">
        <f>G21</f>
        <v>159</v>
      </c>
      <c r="J21" s="88">
        <f>I21-223</f>
        <v>-64</v>
      </c>
      <c r="K21" s="77">
        <v>131</v>
      </c>
      <c r="L21" s="77">
        <v>69</v>
      </c>
      <c r="M21" s="77">
        <f>K21/2</f>
        <v>65.5</v>
      </c>
      <c r="N21" s="88">
        <f>M21-57</f>
        <v>8.5</v>
      </c>
      <c r="O21" s="77">
        <v>746</v>
      </c>
      <c r="P21" s="77">
        <v>296</v>
      </c>
      <c r="Q21" s="77">
        <f>O21/24</f>
        <v>31.083333333333332</v>
      </c>
      <c r="R21" s="88">
        <f>Q21-25</f>
        <v>6.0833333333333321</v>
      </c>
    </row>
    <row r="22" spans="1:18" ht="15.95" customHeight="1" x14ac:dyDescent="0.25">
      <c r="A22" s="164" t="s">
        <v>30</v>
      </c>
      <c r="B22" s="164"/>
      <c r="C22" s="19">
        <f t="shared" ref="C22:R22" si="3">SUM(C18:C21)</f>
        <v>3543</v>
      </c>
      <c r="D22" s="19">
        <f t="shared" si="3"/>
        <v>1257</v>
      </c>
      <c r="E22" s="19">
        <f t="shared" si="3"/>
        <v>176.98358237547893</v>
      </c>
      <c r="F22" s="19">
        <f t="shared" si="3"/>
        <v>31.183582375478924</v>
      </c>
      <c r="G22" s="19">
        <f t="shared" si="3"/>
        <v>684</v>
      </c>
      <c r="H22" s="19">
        <f t="shared" si="3"/>
        <v>170</v>
      </c>
      <c r="I22" s="19">
        <f t="shared" si="3"/>
        <v>684</v>
      </c>
      <c r="J22" s="19">
        <f t="shared" si="3"/>
        <v>97</v>
      </c>
      <c r="K22" s="19">
        <f t="shared" si="3"/>
        <v>187</v>
      </c>
      <c r="L22" s="19">
        <f t="shared" si="3"/>
        <v>90</v>
      </c>
      <c r="M22" s="19">
        <f t="shared" si="3"/>
        <v>121.5</v>
      </c>
      <c r="N22" s="19">
        <f t="shared" si="3"/>
        <v>32.5</v>
      </c>
      <c r="O22" s="19">
        <f t="shared" si="3"/>
        <v>2672</v>
      </c>
      <c r="P22" s="19">
        <f t="shared" si="3"/>
        <v>997</v>
      </c>
      <c r="Q22" s="19">
        <f t="shared" si="3"/>
        <v>148.98007246376812</v>
      </c>
      <c r="R22" s="19">
        <f t="shared" si="3"/>
        <v>25.980072463768117</v>
      </c>
    </row>
    <row r="23" spans="1:18" ht="15.95" customHeight="1" x14ac:dyDescent="0.25">
      <c r="A23" s="164" t="s">
        <v>32</v>
      </c>
      <c r="B23" s="164"/>
      <c r="C23" s="19">
        <f>C22/87</f>
        <v>40.724137931034484</v>
      </c>
      <c r="D23" s="19">
        <f>D22/87</f>
        <v>14.448275862068966</v>
      </c>
      <c r="E23" s="37">
        <f>E22/87</f>
        <v>2.0342940502928615</v>
      </c>
      <c r="F23" s="37">
        <f>F22/87</f>
        <v>0.35843198132734394</v>
      </c>
      <c r="G23" s="19">
        <f t="shared" ref="G23:J23" si="4">G22/4</f>
        <v>171</v>
      </c>
      <c r="H23" s="19">
        <f t="shared" si="4"/>
        <v>42.5</v>
      </c>
      <c r="I23" s="19">
        <f t="shared" si="4"/>
        <v>171</v>
      </c>
      <c r="J23" s="19">
        <f t="shared" si="4"/>
        <v>24.25</v>
      </c>
      <c r="K23" s="19">
        <f>K22/3</f>
        <v>62.333333333333336</v>
      </c>
      <c r="L23" s="19">
        <f>L22/3</f>
        <v>30</v>
      </c>
      <c r="M23" s="19">
        <f>M22/3</f>
        <v>40.5</v>
      </c>
      <c r="N23" s="19">
        <f>N22/3</f>
        <v>10.833333333333334</v>
      </c>
      <c r="O23" s="19">
        <f>O22/78</f>
        <v>34.256410256410255</v>
      </c>
      <c r="P23" s="19">
        <f>P22/78</f>
        <v>12.782051282051283</v>
      </c>
      <c r="Q23" s="37">
        <f>Q22/78</f>
        <v>1.9100009290226683</v>
      </c>
      <c r="R23" s="37">
        <f>R22/78</f>
        <v>0.33307785209959123</v>
      </c>
    </row>
    <row r="24" spans="1:18" ht="30" customHeight="1" x14ac:dyDescent="0.25">
      <c r="A24" s="165" t="s">
        <v>29</v>
      </c>
      <c r="B24" s="165"/>
      <c r="C24" s="48">
        <f t="shared" ref="C24:R24" si="5">SUM(C15,C22)</f>
        <v>10341</v>
      </c>
      <c r="D24" s="48">
        <f t="shared" si="5"/>
        <v>3241</v>
      </c>
      <c r="E24" s="48">
        <f t="shared" si="5"/>
        <v>642.54085510275172</v>
      </c>
      <c r="F24" s="48">
        <f t="shared" si="5"/>
        <v>142.34085510275168</v>
      </c>
      <c r="G24" s="48">
        <f t="shared" si="5"/>
        <v>3521</v>
      </c>
      <c r="H24" s="48">
        <f t="shared" si="5"/>
        <v>599</v>
      </c>
      <c r="I24" s="48">
        <f t="shared" si="5"/>
        <v>3521</v>
      </c>
      <c r="J24" s="48">
        <f t="shared" si="5"/>
        <v>895</v>
      </c>
      <c r="K24" s="48">
        <f t="shared" si="5"/>
        <v>1590</v>
      </c>
      <c r="L24" s="48">
        <f t="shared" si="5"/>
        <v>473</v>
      </c>
      <c r="M24" s="48">
        <f t="shared" si="5"/>
        <v>396.90909090909088</v>
      </c>
      <c r="N24" s="48">
        <f t="shared" si="5"/>
        <v>43.909090909090907</v>
      </c>
      <c r="O24" s="48">
        <f t="shared" si="5"/>
        <v>5230</v>
      </c>
      <c r="P24" s="48">
        <f t="shared" si="5"/>
        <v>2169</v>
      </c>
      <c r="Q24" s="48">
        <f t="shared" si="5"/>
        <v>287.84165532535098</v>
      </c>
      <c r="R24" s="48">
        <f t="shared" si="5"/>
        <v>38.841655325350985</v>
      </c>
    </row>
    <row r="25" spans="1:18" ht="30" customHeight="1" x14ac:dyDescent="0.25">
      <c r="A25" s="165" t="s">
        <v>31</v>
      </c>
      <c r="B25" s="165"/>
      <c r="C25" s="48">
        <f>C24/192</f>
        <v>53.859375</v>
      </c>
      <c r="D25" s="48">
        <f>D24/192</f>
        <v>16.880208333333332</v>
      </c>
      <c r="E25" s="58">
        <f>E24/192</f>
        <v>3.3465669536601652</v>
      </c>
      <c r="F25" s="58">
        <f>F24/192</f>
        <v>0.74135862032683164</v>
      </c>
      <c r="G25" s="48">
        <f t="shared" ref="G25:J25" si="6">G24/11</f>
        <v>320.09090909090907</v>
      </c>
      <c r="H25" s="48">
        <f t="shared" si="6"/>
        <v>54.454545454545453</v>
      </c>
      <c r="I25" s="48">
        <f t="shared" si="6"/>
        <v>320.09090909090907</v>
      </c>
      <c r="J25" s="48">
        <f t="shared" si="6"/>
        <v>81.36363636363636</v>
      </c>
      <c r="K25" s="48">
        <f>K24/19</f>
        <v>83.684210526315795</v>
      </c>
      <c r="L25" s="48">
        <f>L24/19</f>
        <v>24.894736842105264</v>
      </c>
      <c r="M25" s="48">
        <f>M24/19</f>
        <v>20.889952153110045</v>
      </c>
      <c r="N25" s="58">
        <f>N24/19</f>
        <v>2.3110047846889952</v>
      </c>
      <c r="O25" s="48">
        <f>O24/152</f>
        <v>34.407894736842103</v>
      </c>
      <c r="P25" s="48">
        <f>P24/152</f>
        <v>14.269736842105264</v>
      </c>
      <c r="Q25" s="58">
        <f>Q24/152</f>
        <v>1.8936951008246776</v>
      </c>
      <c r="R25" s="58">
        <f>R24/152</f>
        <v>0.25553720608783542</v>
      </c>
    </row>
    <row r="44" spans="7:7" x14ac:dyDescent="0.25">
      <c r="G44" s="69"/>
    </row>
  </sheetData>
  <mergeCells count="31">
    <mergeCell ref="C4:F4"/>
    <mergeCell ref="G4:J4"/>
    <mergeCell ref="K4:N4"/>
    <mergeCell ref="O4:R4"/>
    <mergeCell ref="J5:J6"/>
    <mergeCell ref="N5:N6"/>
    <mergeCell ref="R5:R6"/>
    <mergeCell ref="A2:R2"/>
    <mergeCell ref="D5:D6"/>
    <mergeCell ref="H5:H6"/>
    <mergeCell ref="L5:L6"/>
    <mergeCell ref="P5:P6"/>
    <mergeCell ref="M5:M6"/>
    <mergeCell ref="O5:O6"/>
    <mergeCell ref="Q5:Q6"/>
    <mergeCell ref="G5:G6"/>
    <mergeCell ref="I5:I6"/>
    <mergeCell ref="K5:K6"/>
    <mergeCell ref="A4:A6"/>
    <mergeCell ref="B4:B6"/>
    <mergeCell ref="C5:C6"/>
    <mergeCell ref="E5:E6"/>
    <mergeCell ref="F5:F6"/>
    <mergeCell ref="A24:B24"/>
    <mergeCell ref="A25:B25"/>
    <mergeCell ref="A7:Q7"/>
    <mergeCell ref="A15:B15"/>
    <mergeCell ref="A16:B16"/>
    <mergeCell ref="A17:Q17"/>
    <mergeCell ref="A22:B22"/>
    <mergeCell ref="A23:B23"/>
  </mergeCells>
  <pageMargins left="0.7" right="0.7" top="0.75" bottom="0.75" header="0.3" footer="0.3"/>
  <pageSetup paperSize="9" orientation="portrait" r:id="rId1"/>
  <ignoredErrors>
    <ignoredError sqref="Q19" 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0"/>
  </sheetPr>
  <dimension ref="A2:R24"/>
  <sheetViews>
    <sheetView tabSelected="1" topLeftCell="A16" workbookViewId="0">
      <selection activeCell="R24" sqref="R24"/>
    </sheetView>
  </sheetViews>
  <sheetFormatPr defaultRowHeight="15" x14ac:dyDescent="0.25"/>
  <cols>
    <col min="1" max="1" width="5.7109375" customWidth="1"/>
    <col min="2" max="2" width="27.140625" customWidth="1"/>
    <col min="3" max="3" width="12.140625" customWidth="1"/>
    <col min="4" max="4" width="8" customWidth="1"/>
    <col min="5" max="5" width="9" customWidth="1"/>
    <col min="6" max="6" width="8.42578125" customWidth="1"/>
    <col min="7" max="7" width="12.42578125" customWidth="1"/>
    <col min="8" max="8" width="8.7109375" customWidth="1"/>
    <col min="9" max="9" width="7.28515625" customWidth="1"/>
    <col min="10" max="10" width="8.28515625" customWidth="1"/>
    <col min="11" max="11" width="12.140625" customWidth="1"/>
    <col min="12" max="12" width="10.5703125" customWidth="1"/>
    <col min="13" max="13" width="7.5703125" customWidth="1"/>
    <col min="14" max="14" width="7.28515625" customWidth="1"/>
    <col min="15" max="15" width="12" customWidth="1"/>
    <col min="16" max="16" width="9.140625" customWidth="1"/>
    <col min="17" max="17" width="7.85546875" customWidth="1"/>
    <col min="18" max="18" width="7.7109375" customWidth="1"/>
  </cols>
  <sheetData>
    <row r="2" spans="1:18" ht="15.75" x14ac:dyDescent="0.25">
      <c r="A2" s="143" t="s">
        <v>105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 ht="15.75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18" ht="15.95" customHeight="1" x14ac:dyDescent="0.25">
      <c r="A4" s="117" t="s">
        <v>0</v>
      </c>
      <c r="B4" s="117" t="s">
        <v>1</v>
      </c>
      <c r="C4" s="130" t="s">
        <v>62</v>
      </c>
      <c r="D4" s="144"/>
      <c r="E4" s="144"/>
      <c r="F4" s="131"/>
      <c r="G4" s="130" t="s">
        <v>65</v>
      </c>
      <c r="H4" s="144"/>
      <c r="I4" s="144"/>
      <c r="J4" s="131"/>
      <c r="K4" s="130" t="s">
        <v>63</v>
      </c>
      <c r="L4" s="144"/>
      <c r="M4" s="144"/>
      <c r="N4" s="131"/>
      <c r="O4" s="130" t="s">
        <v>64</v>
      </c>
      <c r="P4" s="144"/>
      <c r="Q4" s="144"/>
      <c r="R4" s="131"/>
    </row>
    <row r="5" spans="1:18" ht="31.5" customHeight="1" x14ac:dyDescent="0.25">
      <c r="A5" s="117"/>
      <c r="B5" s="117"/>
      <c r="C5" s="20" t="s">
        <v>47</v>
      </c>
      <c r="D5" s="20" t="s">
        <v>3</v>
      </c>
      <c r="E5" s="20" t="s">
        <v>45</v>
      </c>
      <c r="F5" s="20" t="s">
        <v>46</v>
      </c>
      <c r="G5" s="20" t="s">
        <v>47</v>
      </c>
      <c r="H5" s="20" t="s">
        <v>3</v>
      </c>
      <c r="I5" s="20" t="s">
        <v>45</v>
      </c>
      <c r="J5" s="20" t="s">
        <v>46</v>
      </c>
      <c r="K5" s="20" t="s">
        <v>47</v>
      </c>
      <c r="L5" s="20" t="s">
        <v>3</v>
      </c>
      <c r="M5" s="20" t="s">
        <v>45</v>
      </c>
      <c r="N5" s="20" t="s">
        <v>46</v>
      </c>
      <c r="O5" s="20" t="s">
        <v>47</v>
      </c>
      <c r="P5" s="20" t="s">
        <v>3</v>
      </c>
      <c r="Q5" s="20" t="s">
        <v>45</v>
      </c>
      <c r="R5" s="20" t="s">
        <v>46</v>
      </c>
    </row>
    <row r="6" spans="1:18" ht="15.95" customHeight="1" x14ac:dyDescent="0.25">
      <c r="A6" s="140" t="s">
        <v>7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2"/>
    </row>
    <row r="7" spans="1:18" ht="15.95" customHeight="1" x14ac:dyDescent="0.25">
      <c r="A7" s="14" t="s">
        <v>8</v>
      </c>
      <c r="B7" s="17" t="s">
        <v>9</v>
      </c>
      <c r="C7" s="88">
        <v>54348</v>
      </c>
      <c r="D7" s="88">
        <v>47196</v>
      </c>
      <c r="E7" s="88">
        <f>6857+295</f>
        <v>7152</v>
      </c>
      <c r="F7" s="88" t="s">
        <v>11</v>
      </c>
      <c r="G7" s="93">
        <v>2452</v>
      </c>
      <c r="H7" s="93">
        <v>2452</v>
      </c>
      <c r="I7" s="93">
        <v>0</v>
      </c>
      <c r="J7" s="93" t="s">
        <v>11</v>
      </c>
      <c r="K7" s="93">
        <v>0</v>
      </c>
      <c r="L7" s="93">
        <v>0</v>
      </c>
      <c r="M7" s="93">
        <v>0</v>
      </c>
      <c r="N7" s="93" t="s">
        <v>11</v>
      </c>
      <c r="O7" s="93">
        <v>97183</v>
      </c>
      <c r="P7" s="93">
        <v>95756</v>
      </c>
      <c r="Q7" s="93">
        <v>1427</v>
      </c>
      <c r="R7" s="93" t="s">
        <v>11</v>
      </c>
    </row>
    <row r="8" spans="1:18" ht="15.95" customHeight="1" x14ac:dyDescent="0.25">
      <c r="A8" s="14" t="s">
        <v>12</v>
      </c>
      <c r="B8" s="17" t="s">
        <v>13</v>
      </c>
      <c r="C8" s="88">
        <v>11662</v>
      </c>
      <c r="D8" s="88">
        <v>2841</v>
      </c>
      <c r="E8" s="88">
        <v>717</v>
      </c>
      <c r="F8" s="88">
        <v>8104</v>
      </c>
      <c r="G8" s="93">
        <v>0</v>
      </c>
      <c r="H8" s="93">
        <v>0</v>
      </c>
      <c r="I8" s="93">
        <v>0</v>
      </c>
      <c r="J8" s="93">
        <v>0</v>
      </c>
      <c r="K8" s="93">
        <v>0</v>
      </c>
      <c r="L8" s="93">
        <v>0</v>
      </c>
      <c r="M8" s="93">
        <v>0</v>
      </c>
      <c r="N8" s="93">
        <v>0</v>
      </c>
      <c r="O8" s="93">
        <v>29789</v>
      </c>
      <c r="P8" s="93">
        <v>15331</v>
      </c>
      <c r="Q8" s="93">
        <v>781</v>
      </c>
      <c r="R8" s="93">
        <v>13677</v>
      </c>
    </row>
    <row r="9" spans="1:18" ht="15.95" customHeight="1" x14ac:dyDescent="0.25">
      <c r="A9" s="14" t="s">
        <v>14</v>
      </c>
      <c r="B9" s="17" t="s">
        <v>15</v>
      </c>
      <c r="C9" s="88">
        <v>13939</v>
      </c>
      <c r="D9" s="88">
        <v>5390</v>
      </c>
      <c r="E9" s="88">
        <v>851</v>
      </c>
      <c r="F9" s="88">
        <v>7698</v>
      </c>
      <c r="G9" s="93">
        <v>1513</v>
      </c>
      <c r="H9" s="93">
        <v>1513</v>
      </c>
      <c r="I9" s="93">
        <v>0</v>
      </c>
      <c r="J9" s="93">
        <v>0</v>
      </c>
      <c r="K9" s="93">
        <v>0</v>
      </c>
      <c r="L9" s="93">
        <v>0</v>
      </c>
      <c r="M9" s="93">
        <v>0</v>
      </c>
      <c r="N9" s="93">
        <v>0</v>
      </c>
      <c r="O9" s="93">
        <v>130269</v>
      </c>
      <c r="P9" s="93">
        <v>127830</v>
      </c>
      <c r="Q9" s="93">
        <v>0</v>
      </c>
      <c r="R9" s="93">
        <v>2439</v>
      </c>
    </row>
    <row r="10" spans="1:18" ht="15.95" customHeight="1" x14ac:dyDescent="0.25">
      <c r="A10" s="14" t="s">
        <v>16</v>
      </c>
      <c r="B10" s="17" t="s">
        <v>17</v>
      </c>
      <c r="C10" s="88">
        <v>0</v>
      </c>
      <c r="D10" s="88">
        <v>0</v>
      </c>
      <c r="E10" s="88">
        <v>0</v>
      </c>
      <c r="F10" s="88" t="s">
        <v>11</v>
      </c>
      <c r="G10" s="93">
        <v>0</v>
      </c>
      <c r="H10" s="93">
        <v>0</v>
      </c>
      <c r="I10" s="93">
        <v>0</v>
      </c>
      <c r="J10" s="93">
        <v>0</v>
      </c>
      <c r="K10" s="93">
        <v>0</v>
      </c>
      <c r="L10" s="93">
        <v>0</v>
      </c>
      <c r="M10" s="93">
        <v>0</v>
      </c>
      <c r="N10" s="93" t="s">
        <v>11</v>
      </c>
      <c r="O10" s="93">
        <v>0</v>
      </c>
      <c r="P10" s="93">
        <v>0</v>
      </c>
      <c r="Q10" s="93">
        <v>0</v>
      </c>
      <c r="R10" s="93" t="s">
        <v>11</v>
      </c>
    </row>
    <row r="11" spans="1:18" ht="15.95" customHeight="1" x14ac:dyDescent="0.25">
      <c r="A11" s="14" t="s">
        <v>18</v>
      </c>
      <c r="B11" s="17" t="s">
        <v>19</v>
      </c>
      <c r="C11" s="88">
        <v>36826</v>
      </c>
      <c r="D11" s="88">
        <v>36826</v>
      </c>
      <c r="E11" s="88" t="s">
        <v>11</v>
      </c>
      <c r="F11" s="88" t="s">
        <v>11</v>
      </c>
      <c r="G11" s="93">
        <v>0</v>
      </c>
      <c r="H11" s="93">
        <v>0</v>
      </c>
      <c r="I11" s="93" t="s">
        <v>11</v>
      </c>
      <c r="J11" s="93" t="s">
        <v>11</v>
      </c>
      <c r="K11" s="93">
        <v>933</v>
      </c>
      <c r="L11" s="93">
        <v>933</v>
      </c>
      <c r="M11" s="93" t="s">
        <v>11</v>
      </c>
      <c r="N11" s="93" t="s">
        <v>11</v>
      </c>
      <c r="O11" s="93">
        <v>5401</v>
      </c>
      <c r="P11" s="93">
        <v>5401</v>
      </c>
      <c r="Q11" s="93" t="s">
        <v>11</v>
      </c>
      <c r="R11" s="93" t="s">
        <v>11</v>
      </c>
    </row>
    <row r="12" spans="1:18" ht="15.95" customHeight="1" x14ac:dyDescent="0.25">
      <c r="A12" s="14" t="s">
        <v>20</v>
      </c>
      <c r="B12" s="17" t="s">
        <v>21</v>
      </c>
      <c r="C12" s="88">
        <v>50741</v>
      </c>
      <c r="D12" s="88">
        <v>19779</v>
      </c>
      <c r="E12" s="88">
        <v>2286</v>
      </c>
      <c r="F12" s="88">
        <v>28676</v>
      </c>
      <c r="G12" s="93">
        <v>0</v>
      </c>
      <c r="H12" s="93">
        <v>0</v>
      </c>
      <c r="I12" s="93">
        <v>0</v>
      </c>
      <c r="J12" s="93">
        <v>0</v>
      </c>
      <c r="K12" s="93">
        <v>0</v>
      </c>
      <c r="L12" s="93">
        <v>0</v>
      </c>
      <c r="M12" s="93">
        <v>0</v>
      </c>
      <c r="N12" s="93">
        <v>0</v>
      </c>
      <c r="O12" s="93">
        <v>0</v>
      </c>
      <c r="P12" s="93">
        <v>0</v>
      </c>
      <c r="Q12" s="93">
        <v>0</v>
      </c>
      <c r="R12" s="93">
        <v>0</v>
      </c>
    </row>
    <row r="13" spans="1:18" ht="15.95" customHeight="1" x14ac:dyDescent="0.25">
      <c r="A13" s="14" t="s">
        <v>22</v>
      </c>
      <c r="B13" s="17" t="s">
        <v>23</v>
      </c>
      <c r="C13" s="88">
        <v>132812</v>
      </c>
      <c r="D13" s="88">
        <v>39064</v>
      </c>
      <c r="E13" s="88" t="s">
        <v>11</v>
      </c>
      <c r="F13" s="88">
        <v>93748</v>
      </c>
      <c r="G13" s="93">
        <v>0</v>
      </c>
      <c r="H13" s="93">
        <v>0</v>
      </c>
      <c r="I13" s="93" t="s">
        <v>11</v>
      </c>
      <c r="J13" s="93">
        <v>0</v>
      </c>
      <c r="K13" s="93">
        <v>0</v>
      </c>
      <c r="L13" s="93">
        <v>0</v>
      </c>
      <c r="M13" s="93">
        <v>0</v>
      </c>
      <c r="N13" s="93">
        <v>0</v>
      </c>
      <c r="O13" s="93">
        <v>4496</v>
      </c>
      <c r="P13" s="93">
        <v>1436</v>
      </c>
      <c r="Q13" s="93">
        <v>0</v>
      </c>
      <c r="R13" s="93">
        <v>3060</v>
      </c>
    </row>
    <row r="14" spans="1:18" ht="15.95" customHeight="1" x14ac:dyDescent="0.25">
      <c r="A14" s="164" t="s">
        <v>30</v>
      </c>
      <c r="B14" s="164"/>
      <c r="C14" s="19">
        <f t="shared" ref="C14:H14" si="0">SUM(C7:C13)</f>
        <v>300328</v>
      </c>
      <c r="D14" s="19">
        <f t="shared" si="0"/>
        <v>151096</v>
      </c>
      <c r="E14" s="19">
        <f t="shared" si="0"/>
        <v>11006</v>
      </c>
      <c r="F14" s="19">
        <f t="shared" si="0"/>
        <v>138226</v>
      </c>
      <c r="G14" s="51">
        <f t="shared" si="0"/>
        <v>3965</v>
      </c>
      <c r="H14" s="51">
        <f t="shared" si="0"/>
        <v>3965</v>
      </c>
      <c r="I14" s="51">
        <v>0</v>
      </c>
      <c r="J14" s="51">
        <v>0</v>
      </c>
      <c r="K14" s="51">
        <f>SUM(K7:K13)</f>
        <v>933</v>
      </c>
      <c r="L14" s="51">
        <f>SUM(L7:L13)</f>
        <v>933</v>
      </c>
      <c r="M14" s="51">
        <v>0</v>
      </c>
      <c r="N14" s="51">
        <v>0</v>
      </c>
      <c r="O14" s="51">
        <f>SUM(O7:O13)</f>
        <v>267138</v>
      </c>
      <c r="P14" s="51">
        <f>SUM(P7:P13)</f>
        <v>245754</v>
      </c>
      <c r="Q14" s="51">
        <f>SUM(Q7:Q13)</f>
        <v>2208</v>
      </c>
      <c r="R14" s="51">
        <f>SUM(R8:R13)</f>
        <v>19176</v>
      </c>
    </row>
    <row r="15" spans="1:18" ht="15.95" customHeight="1" x14ac:dyDescent="0.25">
      <c r="A15" s="164" t="s">
        <v>32</v>
      </c>
      <c r="B15" s="164"/>
      <c r="C15" s="19">
        <f>C14/105</f>
        <v>2860.2666666666669</v>
      </c>
      <c r="D15" s="19">
        <f>D14/7</f>
        <v>21585.142857142859</v>
      </c>
      <c r="E15" s="19">
        <f>E14/16</f>
        <v>687.875</v>
      </c>
      <c r="F15" s="19">
        <f>F14/74</f>
        <v>1867.918918918919</v>
      </c>
      <c r="G15" s="19">
        <f>G14/105</f>
        <v>37.761904761904759</v>
      </c>
      <c r="H15" s="19">
        <f>H14/7</f>
        <v>566.42857142857144</v>
      </c>
      <c r="I15" s="19">
        <v>0</v>
      </c>
      <c r="J15" s="19">
        <v>0</v>
      </c>
      <c r="K15" s="19">
        <f>K14/105</f>
        <v>8.8857142857142861</v>
      </c>
      <c r="L15" s="19">
        <f>L14/7</f>
        <v>133.28571428571428</v>
      </c>
      <c r="M15" s="19">
        <v>0</v>
      </c>
      <c r="N15" s="19">
        <v>0</v>
      </c>
      <c r="O15" s="19">
        <f>O14/105</f>
        <v>2544.1714285714284</v>
      </c>
      <c r="P15" s="19">
        <f>P14/7</f>
        <v>35107.714285714283</v>
      </c>
      <c r="Q15" s="19">
        <f>Q14/16</f>
        <v>138</v>
      </c>
      <c r="R15" s="19">
        <f>R14/74</f>
        <v>259.13513513513516</v>
      </c>
    </row>
    <row r="16" spans="1:18" ht="15.95" customHeight="1" x14ac:dyDescent="0.25">
      <c r="A16" s="140" t="s">
        <v>24</v>
      </c>
      <c r="B16" s="141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2"/>
    </row>
    <row r="17" spans="1:18" ht="15.95" customHeight="1" x14ac:dyDescent="0.25">
      <c r="A17" s="14" t="s">
        <v>8</v>
      </c>
      <c r="B17" s="17" t="s">
        <v>25</v>
      </c>
      <c r="C17" s="88">
        <v>26640</v>
      </c>
      <c r="D17" s="88">
        <v>11227</v>
      </c>
      <c r="E17" s="88">
        <v>11227</v>
      </c>
      <c r="F17" s="88">
        <v>4186</v>
      </c>
      <c r="G17" s="93">
        <v>0</v>
      </c>
      <c r="H17" s="93">
        <v>0</v>
      </c>
      <c r="I17" s="93">
        <v>0</v>
      </c>
      <c r="J17" s="93">
        <v>0</v>
      </c>
      <c r="K17" s="88">
        <v>0</v>
      </c>
      <c r="L17" s="88">
        <v>0</v>
      </c>
      <c r="M17" s="88">
        <v>0</v>
      </c>
      <c r="N17" s="88">
        <v>0</v>
      </c>
      <c r="O17" s="93">
        <v>0</v>
      </c>
      <c r="P17" s="93">
        <v>0</v>
      </c>
      <c r="Q17" s="93">
        <v>0</v>
      </c>
      <c r="R17" s="93">
        <v>0</v>
      </c>
    </row>
    <row r="18" spans="1:18" ht="15.95" customHeight="1" x14ac:dyDescent="0.25">
      <c r="A18" s="14" t="s">
        <v>12</v>
      </c>
      <c r="B18" s="17" t="s">
        <v>26</v>
      </c>
      <c r="C18" s="88">
        <v>5525</v>
      </c>
      <c r="D18" s="88">
        <v>3029</v>
      </c>
      <c r="E18" s="88" t="s">
        <v>11</v>
      </c>
      <c r="F18" s="88">
        <v>2496</v>
      </c>
      <c r="G18" s="93">
        <v>1078</v>
      </c>
      <c r="H18" s="93">
        <v>1078</v>
      </c>
      <c r="I18" s="93" t="s">
        <v>11</v>
      </c>
      <c r="J18" s="93">
        <v>0</v>
      </c>
      <c r="K18" s="88">
        <v>858</v>
      </c>
      <c r="L18" s="88">
        <v>858</v>
      </c>
      <c r="M18" s="88" t="s">
        <v>11</v>
      </c>
      <c r="N18" s="88">
        <v>0</v>
      </c>
      <c r="O18" s="93">
        <v>10432</v>
      </c>
      <c r="P18" s="93">
        <v>7788</v>
      </c>
      <c r="Q18" s="93" t="s">
        <v>11</v>
      </c>
      <c r="R18" s="93">
        <v>2644</v>
      </c>
    </row>
    <row r="19" spans="1:18" ht="15.95" customHeight="1" x14ac:dyDescent="0.25">
      <c r="A19" s="14" t="s">
        <v>14</v>
      </c>
      <c r="B19" s="17" t="s">
        <v>27</v>
      </c>
      <c r="C19" s="88">
        <v>105076</v>
      </c>
      <c r="D19" s="88">
        <v>105076</v>
      </c>
      <c r="E19" s="88" t="s">
        <v>11</v>
      </c>
      <c r="F19" s="88">
        <v>0</v>
      </c>
      <c r="G19" s="93">
        <v>796029</v>
      </c>
      <c r="H19" s="93">
        <v>796029</v>
      </c>
      <c r="I19" s="93" t="s">
        <v>11</v>
      </c>
      <c r="J19" s="93">
        <v>0</v>
      </c>
      <c r="K19" s="88">
        <v>989954</v>
      </c>
      <c r="L19" s="88">
        <v>989954</v>
      </c>
      <c r="M19" s="88" t="s">
        <v>11</v>
      </c>
      <c r="N19" s="88">
        <v>0</v>
      </c>
      <c r="O19" s="93">
        <v>303695</v>
      </c>
      <c r="P19" s="93">
        <v>303695</v>
      </c>
      <c r="Q19" s="93" t="s">
        <v>11</v>
      </c>
      <c r="R19" s="93">
        <v>0</v>
      </c>
    </row>
    <row r="20" spans="1:18" ht="15.95" customHeight="1" x14ac:dyDescent="0.25">
      <c r="A20" s="14" t="s">
        <v>16</v>
      </c>
      <c r="B20" s="17" t="s">
        <v>28</v>
      </c>
      <c r="C20" s="88">
        <v>50821</v>
      </c>
      <c r="D20" s="88">
        <v>11534</v>
      </c>
      <c r="E20" s="88">
        <v>4396</v>
      </c>
      <c r="F20" s="88">
        <v>34891</v>
      </c>
      <c r="G20" s="93">
        <v>1220</v>
      </c>
      <c r="H20" s="93">
        <v>1220</v>
      </c>
      <c r="I20" s="93">
        <v>0</v>
      </c>
      <c r="J20" s="93">
        <v>0</v>
      </c>
      <c r="K20" s="88">
        <v>12997</v>
      </c>
      <c r="L20" s="88">
        <v>12997</v>
      </c>
      <c r="M20" s="88">
        <v>0</v>
      </c>
      <c r="N20" s="88">
        <v>0</v>
      </c>
      <c r="O20" s="93">
        <v>16355</v>
      </c>
      <c r="P20" s="93">
        <v>3367</v>
      </c>
      <c r="Q20" s="93">
        <v>1945</v>
      </c>
      <c r="R20" s="93">
        <v>11043</v>
      </c>
    </row>
    <row r="21" spans="1:18" ht="15.95" customHeight="1" x14ac:dyDescent="0.25">
      <c r="A21" s="164" t="s">
        <v>30</v>
      </c>
      <c r="B21" s="164"/>
      <c r="C21" s="19">
        <f t="shared" ref="C21:H21" si="1">SUM(C17:C20)</f>
        <v>188062</v>
      </c>
      <c r="D21" s="19">
        <f t="shared" si="1"/>
        <v>130866</v>
      </c>
      <c r="E21" s="19">
        <f t="shared" si="1"/>
        <v>15623</v>
      </c>
      <c r="F21" s="19">
        <f t="shared" si="1"/>
        <v>41573</v>
      </c>
      <c r="G21" s="51">
        <f t="shared" si="1"/>
        <v>798327</v>
      </c>
      <c r="H21" s="51">
        <f t="shared" si="1"/>
        <v>798327</v>
      </c>
      <c r="I21" s="51">
        <v>0</v>
      </c>
      <c r="J21" s="51">
        <v>0</v>
      </c>
      <c r="K21" s="19">
        <f>SUM(K17:K20)</f>
        <v>1003809</v>
      </c>
      <c r="L21" s="19">
        <f>SUM(L17:L20)</f>
        <v>1003809</v>
      </c>
      <c r="M21" s="19">
        <v>0</v>
      </c>
      <c r="N21" s="19">
        <v>0</v>
      </c>
      <c r="O21" s="51">
        <f>SUM(O17:O20)</f>
        <v>330482</v>
      </c>
      <c r="P21" s="51">
        <f>SUM(P17:P20)</f>
        <v>314850</v>
      </c>
      <c r="Q21" s="51">
        <f>SUM(Q17:Q20)</f>
        <v>1945</v>
      </c>
      <c r="R21" s="51">
        <f>SUM(R17:R20)</f>
        <v>13687</v>
      </c>
    </row>
    <row r="22" spans="1:18" ht="15.95" customHeight="1" x14ac:dyDescent="0.25">
      <c r="A22" s="164" t="s">
        <v>32</v>
      </c>
      <c r="B22" s="164"/>
      <c r="C22" s="19">
        <f>C21/87</f>
        <v>2161.632183908046</v>
      </c>
      <c r="D22" s="19">
        <f>D21/4</f>
        <v>32716.5</v>
      </c>
      <c r="E22" s="19">
        <f>E21/3</f>
        <v>5207.666666666667</v>
      </c>
      <c r="F22" s="19">
        <f>F21/78</f>
        <v>532.98717948717945</v>
      </c>
      <c r="G22" s="19">
        <f>G21/87</f>
        <v>9176.1724137931033</v>
      </c>
      <c r="H22" s="19">
        <f>H21/4</f>
        <v>199581.75</v>
      </c>
      <c r="I22" s="19">
        <v>0</v>
      </c>
      <c r="J22" s="19">
        <v>0</v>
      </c>
      <c r="K22" s="19">
        <f>K21/87</f>
        <v>11538.034482758621</v>
      </c>
      <c r="L22" s="19">
        <f>L21/4</f>
        <v>250952.25</v>
      </c>
      <c r="M22" s="19">
        <v>0</v>
      </c>
      <c r="N22" s="19">
        <v>0</v>
      </c>
      <c r="O22" s="19">
        <f>O21/87</f>
        <v>3798.6436781609195</v>
      </c>
      <c r="P22" s="19">
        <f>P21/4</f>
        <v>78712.5</v>
      </c>
      <c r="Q22" s="19">
        <f>Q21/3</f>
        <v>648.33333333333337</v>
      </c>
      <c r="R22" s="19">
        <f>R21/78</f>
        <v>175.47435897435898</v>
      </c>
    </row>
    <row r="23" spans="1:18" ht="27" customHeight="1" x14ac:dyDescent="0.25">
      <c r="A23" s="165" t="s">
        <v>29</v>
      </c>
      <c r="B23" s="165"/>
      <c r="C23" s="48">
        <f t="shared" ref="C23:H23" si="2">SUM(C14,C21)</f>
        <v>488390</v>
      </c>
      <c r="D23" s="48">
        <f t="shared" si="2"/>
        <v>281962</v>
      </c>
      <c r="E23" s="48">
        <f t="shared" si="2"/>
        <v>26629</v>
      </c>
      <c r="F23" s="48">
        <f t="shared" si="2"/>
        <v>179799</v>
      </c>
      <c r="G23" s="47">
        <f t="shared" si="2"/>
        <v>802292</v>
      </c>
      <c r="H23" s="47">
        <f t="shared" si="2"/>
        <v>802292</v>
      </c>
      <c r="I23" s="47">
        <v>0</v>
      </c>
      <c r="J23" s="47">
        <v>0</v>
      </c>
      <c r="K23" s="48">
        <f>SUM(K14,K21)</f>
        <v>1004742</v>
      </c>
      <c r="L23" s="48">
        <f>SUM(L14,L21)</f>
        <v>1004742</v>
      </c>
      <c r="M23" s="48">
        <v>0</v>
      </c>
      <c r="N23" s="48">
        <v>0</v>
      </c>
      <c r="O23" s="47">
        <f>SUM(O14,O21)</f>
        <v>597620</v>
      </c>
      <c r="P23" s="47">
        <f>SUM(P14,P21)</f>
        <v>560604</v>
      </c>
      <c r="Q23" s="47">
        <f>SUM(Q14,Q21)</f>
        <v>4153</v>
      </c>
      <c r="R23" s="47">
        <f>SUM(R14,R21)</f>
        <v>32863</v>
      </c>
    </row>
    <row r="24" spans="1:18" ht="32.25" customHeight="1" x14ac:dyDescent="0.25">
      <c r="A24" s="165" t="s">
        <v>31</v>
      </c>
      <c r="B24" s="165"/>
      <c r="C24" s="48">
        <f>C23/192</f>
        <v>2543.6979166666665</v>
      </c>
      <c r="D24" s="48">
        <f>D23/11</f>
        <v>25632.909090909092</v>
      </c>
      <c r="E24" s="48">
        <f>E23/19</f>
        <v>1401.5263157894738</v>
      </c>
      <c r="F24" s="48">
        <f>F23/152</f>
        <v>1182.8881578947369</v>
      </c>
      <c r="G24" s="48">
        <f>G23/192</f>
        <v>4178.604166666667</v>
      </c>
      <c r="H24" s="48">
        <f>H23/11</f>
        <v>72935.636363636368</v>
      </c>
      <c r="I24" s="48">
        <v>0</v>
      </c>
      <c r="J24" s="48">
        <v>0</v>
      </c>
      <c r="K24" s="48">
        <f>K23/192</f>
        <v>5233.03125</v>
      </c>
      <c r="L24" s="48">
        <f>L23/11</f>
        <v>91340.181818181823</v>
      </c>
      <c r="M24" s="48">
        <v>0</v>
      </c>
      <c r="N24" s="48">
        <v>0</v>
      </c>
      <c r="O24" s="48">
        <f>O23/192</f>
        <v>3112.6041666666665</v>
      </c>
      <c r="P24" s="48">
        <f>P23/11</f>
        <v>50964</v>
      </c>
      <c r="Q24" s="48">
        <f>Q23/19</f>
        <v>218.57894736842104</v>
      </c>
      <c r="R24" s="48">
        <f>R23/152</f>
        <v>216.20394736842104</v>
      </c>
    </row>
  </sheetData>
  <mergeCells count="15">
    <mergeCell ref="A2:R2"/>
    <mergeCell ref="A14:B14"/>
    <mergeCell ref="A21:B21"/>
    <mergeCell ref="A23:B23"/>
    <mergeCell ref="A24:B24"/>
    <mergeCell ref="A16:R16"/>
    <mergeCell ref="A4:A5"/>
    <mergeCell ref="B4:B5"/>
    <mergeCell ref="C4:F4"/>
    <mergeCell ref="G4:J4"/>
    <mergeCell ref="K4:N4"/>
    <mergeCell ref="O4:R4"/>
    <mergeCell ref="A6:R6"/>
    <mergeCell ref="A15:B15"/>
    <mergeCell ref="A22:B22"/>
  </mergeCells>
  <pageMargins left="0.70000000000000007" right="0.70000000000000007" top="0.75" bottom="0.75" header="0.30000000000000004" footer="0.3000000000000000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15</vt:i4>
      </vt:variant>
    </vt:vector>
  </HeadingPairs>
  <TitlesOfParts>
    <vt:vector size="15" baseType="lpstr">
      <vt:lpstr>3.1. Vartotojų telkimas</vt:lpstr>
      <vt:lpstr>3.2. Vartotojų skaičius</vt:lpstr>
      <vt:lpstr>3.2.1. Vaikų skaičius</vt:lpstr>
      <vt:lpstr>3.3. Lankytojų skaičius</vt:lpstr>
      <vt:lpstr>3.3.1. Lankytojų vaikų skaičius</vt:lpstr>
      <vt:lpstr>3.4. Dokumentų išduotis</vt:lpstr>
      <vt:lpstr>3.5. Grož. ir šakin. išduotis</vt:lpstr>
      <vt:lpstr>3.6. Periodin. išduotis</vt:lpstr>
      <vt:lpstr>3.7. Išduotis vietoje ir į nam.</vt:lpstr>
      <vt:lpstr>3.8. Skaitomumas ir lankomumas</vt:lpstr>
      <vt:lpstr>3.9. Vaikų skaitomumas</vt:lpstr>
      <vt:lpstr>3.10. Darbo vietos</vt:lpstr>
      <vt:lpstr>3.11. Užklausos</vt:lpstr>
      <vt:lpstr>3.12. Renginiai</vt:lpstr>
      <vt:lpstr>3.13. El. paslaugos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Jonaitienė</cp:lastModifiedBy>
  <dcterms:created xsi:type="dcterms:W3CDTF">2020-05-06T10:41:31Z</dcterms:created>
  <dcterms:modified xsi:type="dcterms:W3CDTF">2023-10-06T07:15:59Z</dcterms:modified>
</cp:coreProperties>
</file>