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zivile\Desktop\2022 regiono ataskaita\"/>
    </mc:Choice>
  </mc:AlternateContent>
  <xr:revisionPtr revIDLastSave="0" documentId="13_ncr:1_{1EA7A344-5AAB-4629-8B46-4B0EAE558AC3}" xr6:coauthVersionLast="36" xr6:coauthVersionMax="36" xr10:uidLastSave="{00000000-0000-0000-0000-000000000000}"/>
  <bookViews>
    <workbookView xWindow="0" yWindow="0" windowWidth="28800" windowHeight="11700" activeTab="2" xr2:uid="{00000000-000D-0000-FFFF-FFFF00000000}"/>
  </bookViews>
  <sheets>
    <sheet name="4.1. Personalas" sheetId="1" r:id="rId1"/>
    <sheet name="4.2. Išsilavinimas" sheetId="2" r:id="rId2"/>
    <sheet name="4.3. Veiklos efektyvumas" sheetId="3" r:id="rId3"/>
  </sheets>
  <calcPr calcId="191029"/>
</workbook>
</file>

<file path=xl/calcChain.xml><?xml version="1.0" encoding="utf-8"?>
<calcChain xmlns="http://schemas.openxmlformats.org/spreadsheetml/2006/main">
  <c r="N25" i="3" l="1"/>
  <c r="M25" i="3"/>
  <c r="K25" i="3"/>
  <c r="J25" i="3"/>
  <c r="I25" i="3"/>
  <c r="G25" i="3"/>
  <c r="F25" i="3"/>
  <c r="E25" i="3"/>
  <c r="C25" i="3"/>
  <c r="V23" i="2"/>
  <c r="U23" i="2"/>
  <c r="S23" i="2"/>
  <c r="R23" i="2"/>
  <c r="Q23" i="2"/>
  <c r="O23" i="2"/>
  <c r="N23" i="2"/>
  <c r="M23" i="2"/>
  <c r="K23" i="2"/>
  <c r="J23" i="2"/>
  <c r="I23" i="2"/>
  <c r="G23" i="2"/>
  <c r="F23" i="2"/>
  <c r="E23" i="2"/>
  <c r="C23" i="2"/>
  <c r="P25" i="1"/>
  <c r="O25" i="1"/>
  <c r="M25" i="1"/>
  <c r="L25" i="1"/>
  <c r="K25" i="1"/>
  <c r="J25" i="1"/>
  <c r="I25" i="1"/>
  <c r="H25" i="1"/>
  <c r="G25" i="1"/>
  <c r="F25" i="1"/>
  <c r="D25" i="1" l="1"/>
  <c r="E25" i="1"/>
  <c r="C25" i="1"/>
  <c r="H25" i="3" l="1"/>
  <c r="I8" i="2" l="1"/>
  <c r="N21" i="3" l="1"/>
  <c r="N20" i="3"/>
  <c r="N19" i="3"/>
  <c r="N18" i="3"/>
  <c r="N14" i="3"/>
  <c r="N13" i="3"/>
  <c r="N10" i="3"/>
  <c r="N9" i="3"/>
  <c r="J21" i="3"/>
  <c r="J20" i="3"/>
  <c r="J19" i="3"/>
  <c r="J18" i="3"/>
  <c r="J14" i="3"/>
  <c r="J13" i="3"/>
  <c r="J10" i="3"/>
  <c r="J9" i="3"/>
  <c r="F20" i="3"/>
  <c r="F19" i="3"/>
  <c r="F18" i="3"/>
  <c r="F14" i="3"/>
  <c r="F13" i="3"/>
  <c r="F10" i="3"/>
  <c r="F9" i="3"/>
  <c r="M21" i="3"/>
  <c r="M18" i="3"/>
  <c r="M13" i="3"/>
  <c r="M11" i="3"/>
  <c r="M10" i="3"/>
  <c r="M9" i="3"/>
  <c r="M8" i="3"/>
  <c r="I21" i="3"/>
  <c r="I18" i="3"/>
  <c r="I13" i="3"/>
  <c r="I11" i="3"/>
  <c r="I10" i="3"/>
  <c r="I9" i="3"/>
  <c r="I8" i="3"/>
  <c r="E18" i="3"/>
  <c r="E13" i="3"/>
  <c r="E11" i="3"/>
  <c r="E10" i="3"/>
  <c r="E9" i="3"/>
  <c r="E8" i="3"/>
  <c r="L21" i="3"/>
  <c r="L20" i="3"/>
  <c r="L19" i="3"/>
  <c r="L18" i="3"/>
  <c r="L14" i="3"/>
  <c r="L13" i="3"/>
  <c r="L12" i="3"/>
  <c r="L11" i="3"/>
  <c r="L10" i="3"/>
  <c r="L9" i="3"/>
  <c r="L8" i="3"/>
  <c r="D21" i="3"/>
  <c r="D20" i="3"/>
  <c r="D19" i="3"/>
  <c r="D18" i="3"/>
  <c r="D14" i="3"/>
  <c r="D13" i="3"/>
  <c r="D12" i="3"/>
  <c r="D11" i="3"/>
  <c r="D10" i="3"/>
  <c r="D9" i="3"/>
  <c r="D8" i="3"/>
  <c r="H21" i="3"/>
  <c r="H20" i="3"/>
  <c r="H19" i="3"/>
  <c r="H18" i="3"/>
  <c r="H14" i="3"/>
  <c r="H13" i="3"/>
  <c r="H12" i="3"/>
  <c r="H11" i="3"/>
  <c r="H10" i="3"/>
  <c r="H9" i="3"/>
  <c r="H8" i="3"/>
  <c r="K21" i="3"/>
  <c r="K20" i="3"/>
  <c r="K19" i="3"/>
  <c r="K18" i="3"/>
  <c r="K14" i="3"/>
  <c r="K13" i="3"/>
  <c r="K12" i="3"/>
  <c r="K11" i="3"/>
  <c r="K10" i="3"/>
  <c r="K9" i="3"/>
  <c r="K8" i="3"/>
  <c r="G21" i="3"/>
  <c r="G20" i="3"/>
  <c r="G19" i="3"/>
  <c r="G18" i="3"/>
  <c r="G14" i="3"/>
  <c r="G13" i="3"/>
  <c r="G12" i="3"/>
  <c r="G11" i="3"/>
  <c r="G10" i="3"/>
  <c r="G9" i="3"/>
  <c r="G8" i="3"/>
  <c r="C21" i="3"/>
  <c r="C20" i="3"/>
  <c r="C19" i="3"/>
  <c r="C18" i="3"/>
  <c r="C14" i="3"/>
  <c r="C13" i="3"/>
  <c r="C12" i="3"/>
  <c r="C11" i="3"/>
  <c r="C10" i="3"/>
  <c r="C9" i="3"/>
  <c r="C8" i="3"/>
  <c r="Q8" i="2" l="1"/>
  <c r="M8" i="2"/>
  <c r="E8" i="2"/>
  <c r="K8" i="1"/>
  <c r="F8" i="1"/>
  <c r="F21" i="3" l="1"/>
  <c r="E21" i="3"/>
  <c r="H15" i="3" l="1"/>
  <c r="N15" i="3" l="1"/>
  <c r="N16" i="3" s="1"/>
  <c r="N22" i="3"/>
  <c r="N23" i="3" s="1"/>
  <c r="M22" i="3"/>
  <c r="M23" i="3" s="1"/>
  <c r="M15" i="3"/>
  <c r="M16" i="3" s="1"/>
  <c r="L15" i="3"/>
  <c r="L16" i="3" s="1"/>
  <c r="L22" i="3"/>
  <c r="L23" i="3" s="1"/>
  <c r="N24" i="3" l="1"/>
  <c r="M24" i="3"/>
  <c r="L24" i="3"/>
  <c r="L25" i="3" s="1"/>
  <c r="K22" i="3" l="1"/>
  <c r="K23" i="3" s="1"/>
  <c r="K15" i="3"/>
  <c r="K16" i="3" s="1"/>
  <c r="J22" i="3"/>
  <c r="J23" i="3" s="1"/>
  <c r="J15" i="3"/>
  <c r="J16" i="3" s="1"/>
  <c r="I15" i="3"/>
  <c r="I16" i="3" s="1"/>
  <c r="I22" i="3"/>
  <c r="I23" i="3" s="1"/>
  <c r="H16" i="3"/>
  <c r="H22" i="3"/>
  <c r="H23" i="3" s="1"/>
  <c r="G15" i="3"/>
  <c r="G16" i="3" s="1"/>
  <c r="G22" i="3"/>
  <c r="G23" i="3" s="1"/>
  <c r="F22" i="3"/>
  <c r="F23" i="3" s="1"/>
  <c r="F15" i="3"/>
  <c r="F16" i="3" s="1"/>
  <c r="E15" i="3"/>
  <c r="E16" i="3" s="1"/>
  <c r="E22" i="3"/>
  <c r="E23" i="3" s="1"/>
  <c r="D22" i="3"/>
  <c r="D23" i="3" s="1"/>
  <c r="D15" i="3"/>
  <c r="D16" i="3" s="1"/>
  <c r="C22" i="3"/>
  <c r="C23" i="3" s="1"/>
  <c r="C15" i="3"/>
  <c r="C16" i="3" s="1"/>
  <c r="K24" i="3" l="1"/>
  <c r="I24" i="3"/>
  <c r="H24" i="3"/>
  <c r="J24" i="3"/>
  <c r="D24" i="3"/>
  <c r="D25" i="3" s="1"/>
  <c r="E24" i="3"/>
  <c r="F24" i="3"/>
  <c r="G24" i="3"/>
  <c r="C24" i="3"/>
  <c r="T21" i="2"/>
  <c r="P21" i="2"/>
  <c r="L21" i="2"/>
  <c r="H21" i="2"/>
  <c r="D21" i="2"/>
  <c r="T15" i="2"/>
  <c r="P15" i="2"/>
  <c r="L15" i="2"/>
  <c r="H15" i="2"/>
  <c r="D15" i="2"/>
  <c r="N22" i="1"/>
  <c r="N23" i="1" s="1"/>
  <c r="N15" i="1"/>
  <c r="N16" i="1" s="1"/>
  <c r="J15" i="1"/>
  <c r="J16" i="1" s="1"/>
  <c r="J22" i="1"/>
  <c r="J23" i="1" s="1"/>
  <c r="H22" i="1"/>
  <c r="H23" i="1" s="1"/>
  <c r="E22" i="1"/>
  <c r="E23" i="1" s="1"/>
  <c r="E15" i="1"/>
  <c r="E16" i="1" s="1"/>
  <c r="V21" i="2"/>
  <c r="U21" i="2"/>
  <c r="R21" i="2"/>
  <c r="Q21" i="2"/>
  <c r="N21" i="2"/>
  <c r="M21" i="2"/>
  <c r="J21" i="2"/>
  <c r="I21" i="2"/>
  <c r="F21" i="2"/>
  <c r="E21" i="2"/>
  <c r="V15" i="2"/>
  <c r="U15" i="2"/>
  <c r="R15" i="2"/>
  <c r="Q15" i="2"/>
  <c r="N15" i="2"/>
  <c r="M15" i="2"/>
  <c r="M22" i="2" s="1"/>
  <c r="J15" i="2"/>
  <c r="I15" i="2"/>
  <c r="F15" i="2"/>
  <c r="E15" i="2"/>
  <c r="E22" i="2" s="1"/>
  <c r="P22" i="1"/>
  <c r="P23" i="1" s="1"/>
  <c r="P15" i="1"/>
  <c r="P16" i="1" s="1"/>
  <c r="O22" i="1"/>
  <c r="O23" i="1" s="1"/>
  <c r="O15" i="1"/>
  <c r="O16" i="1" s="1"/>
  <c r="L22" i="1"/>
  <c r="L23" i="1" s="1"/>
  <c r="L15" i="1"/>
  <c r="L16" i="1" s="1"/>
  <c r="K22" i="1"/>
  <c r="K23" i="1" s="1"/>
  <c r="K15" i="1"/>
  <c r="K16" i="1" s="1"/>
  <c r="G22" i="1"/>
  <c r="G23" i="1" s="1"/>
  <c r="G15" i="1"/>
  <c r="G16" i="1" s="1"/>
  <c r="F22" i="1"/>
  <c r="F23" i="1" s="1"/>
  <c r="F15" i="1"/>
  <c r="F16" i="1" s="1"/>
  <c r="V22" i="2" l="1"/>
  <c r="U22" i="2"/>
  <c r="H22" i="2"/>
  <c r="H23" i="2" s="1"/>
  <c r="J22" i="2"/>
  <c r="R22" i="2"/>
  <c r="N22" i="2"/>
  <c r="F22" i="2"/>
  <c r="L24" i="1"/>
  <c r="G24" i="1"/>
  <c r="P24" i="1"/>
  <c r="O24" i="1"/>
  <c r="K24" i="1"/>
  <c r="F24" i="1"/>
  <c r="T22" i="2"/>
  <c r="T23" i="2" s="1"/>
  <c r="L22" i="2"/>
  <c r="L23" i="2" s="1"/>
  <c r="D22" i="2"/>
  <c r="D23" i="2" s="1"/>
  <c r="N24" i="1"/>
  <c r="N25" i="1" s="1"/>
  <c r="P22" i="2"/>
  <c r="P23" i="2" s="1"/>
  <c r="J24" i="1"/>
  <c r="E24" i="1"/>
  <c r="I22" i="2"/>
  <c r="Q22" i="2"/>
  <c r="S21" i="2"/>
  <c r="O21" i="2"/>
  <c r="K21" i="2"/>
  <c r="G21" i="2"/>
  <c r="C21" i="2"/>
  <c r="S15" i="2"/>
  <c r="O15" i="2"/>
  <c r="K15" i="2"/>
  <c r="G15" i="2"/>
  <c r="C15" i="2"/>
  <c r="M22" i="1"/>
  <c r="M23" i="1" s="1"/>
  <c r="I22" i="1"/>
  <c r="I23" i="1" s="1"/>
  <c r="M15" i="1"/>
  <c r="M16" i="1" s="1"/>
  <c r="I15" i="1"/>
  <c r="I16" i="1" s="1"/>
  <c r="H15" i="1"/>
  <c r="H16" i="1" s="1"/>
  <c r="D22" i="1"/>
  <c r="D23" i="1" s="1"/>
  <c r="D15" i="1"/>
  <c r="D16" i="1" s="1"/>
  <c r="C15" i="1"/>
  <c r="C16" i="1" s="1"/>
  <c r="C22" i="1"/>
  <c r="C23" i="1" s="1"/>
  <c r="G22" i="2" l="1"/>
  <c r="S22" i="2"/>
  <c r="O22" i="2"/>
  <c r="K22" i="2"/>
  <c r="C22" i="2"/>
  <c r="M24" i="1"/>
  <c r="C24" i="1"/>
  <c r="I24" i="1"/>
  <c r="H24" i="1"/>
  <c r="D24" i="1"/>
</calcChain>
</file>

<file path=xl/sharedStrings.xml><?xml version="1.0" encoding="utf-8"?>
<sst xmlns="http://schemas.openxmlformats.org/spreadsheetml/2006/main" count="236" uniqueCount="48">
  <si>
    <t>Eil. Nr.</t>
  </si>
  <si>
    <t>Savivaldybių viešosios bibliotekos</t>
  </si>
  <si>
    <t>VB</t>
  </si>
  <si>
    <t>Miesto fil.</t>
  </si>
  <si>
    <t>Kaimo fil.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</si>
  <si>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</si>
  <si>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</si>
  <si>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</si>
  <si>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</si>
  <si>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</si>
  <si>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</si>
  <si>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</si>
  <si>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</si>
  <si>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</si>
  <si>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</si>
  <si>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</si>
  <si>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</si>
  <si>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</si>
  <si>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</si>
  <si>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</si>
  <si>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</si>
  <si>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</si>
  <si>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</si>
  <si>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</si>
  <si>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</si>
  <si>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</si>
  <si>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</si>
  <si>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</si>
  <si>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Etatų skaičius SVB</t>
  </si>
  <si>
    <t>Iš viso SVB</t>
  </si>
  <si>
    <t>Darbuotojų skaičius</t>
  </si>
  <si>
    <t>Iš jų: profesionalių bibliotekininkų</t>
  </si>
  <si>
    <t>Iš viso</t>
  </si>
  <si>
    <t xml:space="preserve">Profesionalių bibliotekininkų, </t>
  </si>
  <si>
    <t>dirbančių ne visą darbo dieną skaičius</t>
  </si>
  <si>
    <t>Aukštasis</t>
  </si>
  <si>
    <t>Iš jų: bibliotekinis</t>
  </si>
  <si>
    <t>Aukštesnysis</t>
  </si>
  <si>
    <t>Kitas</t>
  </si>
  <si>
    <t>Vartotojų skaičius vienam bibliotekininkui</t>
  </si>
  <si>
    <t>Lankytojų skaičius vienam bibliotekininkui</t>
  </si>
  <si>
    <t>Dokumentų išduotis vienam bibliotekininkui (fiz. vnt.)</t>
  </si>
  <si>
    <t>x</t>
  </si>
  <si>
    <t>Vidutiniškai vienoje bibliotekoje:</t>
  </si>
  <si>
    <t>4.1. KLAIPĖDOS IR TAURAGĖS APSKRIČIŲ SAVIVALDYBIŲ VIEŠŲJŲ BIBLIOTEKŲ PERSONALAS 2022 M.</t>
  </si>
  <si>
    <t>4.2. KLAIPĖDOS IR TAURAGĖS APSKRIČIŲ SAVIVALDYBIŲ BIBLIOTEKININKŲ IŠSILAVINIMAS IR KVALIFIKACIJA 2022 M.</t>
  </si>
  <si>
    <t>4.3. KLAIPĖDOS IR TAURAGĖS APSKRIČIŲ SAVIVALDYBIŲ VIEŠŲJŲ BIBLIOTEKŲ DARBUOTOJŲ VEIKLOS EFEKTYVUMAS 2022 M.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</si>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</sst>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name val="Calibri"/>
      <family val="2"/>
      <charset val="186"/>
    </font>
    <font>
      <b/>
      <sz val="12"/>
      <name val="Calibri"/>
      <family val="2"/>
      <charset val="186"/>
    </font>
    <font>
      <sz val="11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71">
    <xf numFmtId="0" fontId="0" fillId="0" borderId="0" xfId="0"/>
    <xf numFmtId="0" fontId="3" fillId="3" borderId="1" xfId="2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left" vertical="center" wrapText="1"/>
    </xf>
    <xf numFmtId="0" fontId="3" fillId="3" borderId="7" xfId="2" applyFont="1" applyFill="1" applyBorder="1" applyAlignment="1">
      <alignment horizontal="center" vertical="center" wrapText="1"/>
    </xf>
    <xf numFmtId="0" fontId="8" fillId="0" borderId="0" xfId="0" applyFont="1"/>
    <xf numFmtId="0" fontId="8" fillId="4" borderId="1" xfId="0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left" vertical="center" wrapText="1"/>
    </xf>
    <xf numFmtId="2" fontId="5" fillId="5" borderId="1" xfId="1" applyNumberFormat="1" applyFont="1" applyFill="1" applyBorder="1" applyAlignment="1">
      <alignment horizontal="center" vertical="center" wrapText="1"/>
    </xf>
    <xf numFmtId="2" fontId="5" fillId="5" borderId="1" xfId="1" applyNumberFormat="1" applyFont="1" applyFill="1" applyBorder="1" applyAlignment="1">
      <alignment horizontal="left" vertical="center" wrapText="1"/>
    </xf>
    <xf numFmtId="1" fontId="8" fillId="0" borderId="0" xfId="0" applyNumberFormat="1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2" fontId="5" fillId="6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1" fontId="6" fillId="7" borderId="1" xfId="0" applyNumberFormat="1" applyFont="1" applyFill="1" applyBorder="1" applyAlignment="1">
      <alignment horizontal="center" vertical="center"/>
    </xf>
    <xf numFmtId="2" fontId="6" fillId="7" borderId="1" xfId="0" applyNumberFormat="1" applyFont="1" applyFill="1" applyBorder="1" applyAlignment="1">
      <alignment horizontal="center" vertical="center"/>
    </xf>
    <xf numFmtId="164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" fontId="10" fillId="7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0" fontId="11" fillId="0" borderId="0" xfId="0" applyFont="1"/>
    <xf numFmtId="2" fontId="5" fillId="5" borderId="1" xfId="0" applyNumberFormat="1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2" fontId="5" fillId="6" borderId="1" xfId="1" applyNumberFormat="1" applyFont="1" applyFill="1" applyBorder="1" applyAlignment="1">
      <alignment horizontal="right" vertical="center"/>
    </xf>
    <xf numFmtId="2" fontId="6" fillId="7" borderId="1" xfId="1" applyNumberFormat="1" applyFont="1" applyFill="1" applyBorder="1" applyAlignment="1">
      <alignment horizontal="right" vertical="center" wrapText="1"/>
    </xf>
    <xf numFmtId="2" fontId="4" fillId="4" borderId="2" xfId="0" applyNumberFormat="1" applyFont="1" applyFill="1" applyBorder="1" applyAlignment="1">
      <alignment horizontal="left" vertical="center"/>
    </xf>
    <xf numFmtId="2" fontId="4" fillId="4" borderId="3" xfId="0" applyNumberFormat="1" applyFont="1" applyFill="1" applyBorder="1" applyAlignment="1">
      <alignment horizontal="left" vertical="center"/>
    </xf>
    <xf numFmtId="2" fontId="4" fillId="4" borderId="4" xfId="0" applyNumberFormat="1" applyFont="1" applyFill="1" applyBorder="1" applyAlignment="1">
      <alignment horizontal="left" vertical="center"/>
    </xf>
    <xf numFmtId="0" fontId="5" fillId="6" borderId="2" xfId="1" applyFont="1" applyFill="1" applyBorder="1" applyAlignment="1">
      <alignment horizontal="right" vertical="center"/>
    </xf>
    <xf numFmtId="0" fontId="5" fillId="6" borderId="4" xfId="1" applyFont="1" applyFill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3" fillId="3" borderId="2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3" fillId="3" borderId="7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right" vertical="center" wrapText="1"/>
    </xf>
    <xf numFmtId="0" fontId="6" fillId="7" borderId="2" xfId="1" applyFont="1" applyFill="1" applyBorder="1" applyAlignment="1">
      <alignment horizontal="right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right" vertical="center"/>
    </xf>
    <xf numFmtId="0" fontId="3" fillId="3" borderId="5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3" fillId="3" borderId="12" xfId="2" applyFont="1" applyFill="1" applyBorder="1" applyAlignment="1">
      <alignment horizontal="center" vertical="center" wrapText="1"/>
    </xf>
    <xf numFmtId="0" fontId="3" fillId="3" borderId="13" xfId="2" applyFont="1" applyFill="1" applyBorder="1" applyAlignment="1">
      <alignment horizontal="center" vertical="center" wrapText="1"/>
    </xf>
  </cellXfs>
  <cellStyles count="3">
    <cellStyle name="20% – paryškinimas 4" xfId="1" builtinId="42"/>
    <cellStyle name="Įprastas" xfId="0" builtinId="0" customBuiltin="1"/>
    <cellStyle name="Įprastas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26</xdr:row>
      <xdr:rowOff>9525</xdr:rowOff>
    </xdr:from>
    <xdr:to>
      <xdr:col>6</xdr:col>
      <xdr:colOff>253961</xdr:colOff>
      <xdr:row>42</xdr:row>
      <xdr:rowOff>9525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5848350"/>
          <a:ext cx="4406861" cy="30480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447674</xdr:colOff>
      <xdr:row>26</xdr:row>
      <xdr:rowOff>1</xdr:rowOff>
    </xdr:from>
    <xdr:to>
      <xdr:col>16</xdr:col>
      <xdr:colOff>428661</xdr:colOff>
      <xdr:row>42</xdr:row>
      <xdr:rowOff>889</xdr:rowOff>
    </xdr:to>
    <xdr:pic>
      <xdr:nvPicPr>
        <xdr:cNvPr id="5" name="Paveikslėl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14874" y="5838826"/>
          <a:ext cx="5334037" cy="30488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24</xdr:row>
      <xdr:rowOff>9524</xdr:rowOff>
    </xdr:from>
    <xdr:to>
      <xdr:col>6</xdr:col>
      <xdr:colOff>231150</xdr:colOff>
      <xdr:row>40</xdr:row>
      <xdr:rowOff>190499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65" r="7254"/>
        <a:stretch/>
      </xdr:blipFill>
      <xdr:spPr>
        <a:xfrm>
          <a:off x="152399" y="5476874"/>
          <a:ext cx="4174501" cy="32289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104894</xdr:colOff>
      <xdr:row>26</xdr:row>
      <xdr:rowOff>0</xdr:rowOff>
    </xdr:from>
    <xdr:to>
      <xdr:col>8</xdr:col>
      <xdr:colOff>371475</xdr:colOff>
      <xdr:row>47</xdr:row>
      <xdr:rowOff>17712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894" y="5715000"/>
          <a:ext cx="5657731" cy="4018212"/>
        </a:xfrm>
        <a:prstGeom prst="rect">
          <a:avLst/>
        </a:prstGeom>
      </xdr:spPr>
    </xdr:pic>
    <xdr:clientData/>
  </xdr:twoCellAnchor>
  <xdr:twoCellAnchor editAs="oneCell">
    <xdr:from>
      <xdr:col>9</xdr:col>
      <xdr:colOff>28575</xdr:colOff>
      <xdr:row>26</xdr:row>
      <xdr:rowOff>2320</xdr:rowOff>
    </xdr:from>
    <xdr:to>
      <xdr:col>18</xdr:col>
      <xdr:colOff>502575</xdr:colOff>
      <xdr:row>47</xdr:row>
      <xdr:rowOff>19050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43600" y="5717320"/>
          <a:ext cx="5617500" cy="4017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25"/>
  <sheetViews>
    <sheetView topLeftCell="A2" workbookViewId="0">
      <selection activeCell="P25" sqref="P25"/>
    </sheetView>
  </sheetViews>
  <sheetFormatPr defaultRowHeight="15" x14ac:dyDescent="0.25"/>
  <cols>
    <col min="1" max="1" width="5.7109375" customWidth="1"/>
    <col min="2" max="2" width="27.28515625" customWidth="1"/>
    <col min="3" max="3" width="9.140625" customWidth="1"/>
    <col min="4" max="4" width="7.85546875" customWidth="1"/>
    <col min="5" max="5" width="6.85546875" customWidth="1"/>
    <col min="6" max="7" width="7.140625" customWidth="1"/>
    <col min="8" max="8" width="8.28515625" customWidth="1"/>
    <col min="9" max="9" width="7.7109375" customWidth="1"/>
    <col min="10" max="10" width="7.42578125" customWidth="1"/>
    <col min="11" max="11" width="7.7109375" customWidth="1"/>
    <col min="12" max="12" width="6.5703125" customWidth="1"/>
    <col min="13" max="13" width="9" customWidth="1"/>
    <col min="14" max="14" width="8.140625" customWidth="1"/>
    <col min="15" max="15" width="9" customWidth="1"/>
    <col min="16" max="16" width="9.28515625" customWidth="1"/>
    <col min="17" max="17" width="13.42578125" customWidth="1"/>
  </cols>
  <sheetData>
    <row r="2" spans="1:17" ht="15.75" x14ac:dyDescent="0.25">
      <c r="A2" s="36" t="s">
        <v>44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7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7" ht="20.25" customHeight="1" x14ac:dyDescent="0.25">
      <c r="A4" s="49" t="s">
        <v>0</v>
      </c>
      <c r="B4" s="49" t="s">
        <v>1</v>
      </c>
      <c r="C4" s="49" t="s">
        <v>28</v>
      </c>
      <c r="D4" s="37" t="s">
        <v>30</v>
      </c>
      <c r="E4" s="38"/>
      <c r="F4" s="38"/>
      <c r="G4" s="39"/>
      <c r="H4" s="37" t="s">
        <v>31</v>
      </c>
      <c r="I4" s="38"/>
      <c r="J4" s="38"/>
      <c r="K4" s="38"/>
      <c r="L4" s="39"/>
      <c r="M4" s="40" t="s">
        <v>33</v>
      </c>
      <c r="N4" s="41"/>
      <c r="O4" s="41"/>
      <c r="P4" s="42"/>
    </row>
    <row r="5" spans="1:17" ht="17.25" customHeight="1" x14ac:dyDescent="0.25">
      <c r="A5" s="51"/>
      <c r="B5" s="51"/>
      <c r="C5" s="51"/>
      <c r="D5" s="49" t="s">
        <v>29</v>
      </c>
      <c r="E5" s="49" t="s">
        <v>2</v>
      </c>
      <c r="F5" s="49" t="s">
        <v>3</v>
      </c>
      <c r="G5" s="49" t="s">
        <v>4</v>
      </c>
      <c r="H5" s="49" t="s">
        <v>28</v>
      </c>
      <c r="I5" s="37" t="s">
        <v>30</v>
      </c>
      <c r="J5" s="38"/>
      <c r="K5" s="38"/>
      <c r="L5" s="39"/>
      <c r="M5" s="43" t="s">
        <v>34</v>
      </c>
      <c r="N5" s="44"/>
      <c r="O5" s="44"/>
      <c r="P5" s="45"/>
    </row>
    <row r="6" spans="1:17" ht="33" customHeight="1" x14ac:dyDescent="0.25">
      <c r="A6" s="50"/>
      <c r="B6" s="50"/>
      <c r="C6" s="50"/>
      <c r="D6" s="50"/>
      <c r="E6" s="50"/>
      <c r="F6" s="50"/>
      <c r="G6" s="50"/>
      <c r="H6" s="50"/>
      <c r="I6" s="1" t="s">
        <v>32</v>
      </c>
      <c r="J6" s="1" t="s">
        <v>2</v>
      </c>
      <c r="K6" s="1" t="s">
        <v>3</v>
      </c>
      <c r="L6" s="6" t="s">
        <v>4</v>
      </c>
      <c r="M6" s="1" t="s">
        <v>32</v>
      </c>
      <c r="N6" s="1" t="s">
        <v>2</v>
      </c>
      <c r="O6" s="1" t="s">
        <v>3</v>
      </c>
      <c r="P6" s="6" t="s">
        <v>4</v>
      </c>
    </row>
    <row r="7" spans="1:17" ht="15.95" customHeight="1" x14ac:dyDescent="0.25">
      <c r="A7" s="46" t="s">
        <v>5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8"/>
    </row>
    <row r="8" spans="1:17" ht="15.95" customHeight="1" x14ac:dyDescent="0.25">
      <c r="A8" s="8" t="s">
        <v>6</v>
      </c>
      <c r="B8" s="9" t="s">
        <v>7</v>
      </c>
      <c r="C8" s="24">
        <v>74</v>
      </c>
      <c r="D8" s="25">
        <v>76</v>
      </c>
      <c r="E8" s="25">
        <v>46</v>
      </c>
      <c r="F8" s="25">
        <f>28+2</f>
        <v>30</v>
      </c>
      <c r="G8" s="25" t="s">
        <v>42</v>
      </c>
      <c r="H8" s="24">
        <v>57</v>
      </c>
      <c r="I8" s="25">
        <v>58</v>
      </c>
      <c r="J8" s="25">
        <v>28</v>
      </c>
      <c r="K8" s="25">
        <f>28+2</f>
        <v>30</v>
      </c>
      <c r="L8" s="26" t="s">
        <v>42</v>
      </c>
      <c r="M8" s="26">
        <v>2</v>
      </c>
      <c r="N8" s="26">
        <v>1</v>
      </c>
      <c r="O8" s="26">
        <v>1</v>
      </c>
      <c r="P8" s="26" t="s">
        <v>42</v>
      </c>
    </row>
    <row r="9" spans="1:17" ht="15.95" customHeight="1" x14ac:dyDescent="0.25">
      <c r="A9" s="8" t="s">
        <v>8</v>
      </c>
      <c r="B9" s="9" t="s">
        <v>9</v>
      </c>
      <c r="C9" s="24">
        <v>56</v>
      </c>
      <c r="D9" s="25">
        <v>59</v>
      </c>
      <c r="E9" s="25">
        <v>32</v>
      </c>
      <c r="F9" s="25">
        <v>2</v>
      </c>
      <c r="G9" s="25">
        <v>25</v>
      </c>
      <c r="H9" s="24">
        <v>44.5</v>
      </c>
      <c r="I9" s="25">
        <v>47</v>
      </c>
      <c r="J9" s="25">
        <v>21</v>
      </c>
      <c r="K9" s="25">
        <v>2</v>
      </c>
      <c r="L9" s="26">
        <v>24</v>
      </c>
      <c r="M9" s="26">
        <v>10</v>
      </c>
      <c r="N9" s="26">
        <v>0</v>
      </c>
      <c r="O9" s="26">
        <v>1</v>
      </c>
      <c r="P9" s="26">
        <v>9</v>
      </c>
    </row>
    <row r="10" spans="1:17" ht="15.95" customHeight="1" x14ac:dyDescent="0.25">
      <c r="A10" s="8" t="s">
        <v>10</v>
      </c>
      <c r="B10" s="9" t="s">
        <v>11</v>
      </c>
      <c r="C10" s="24">
        <v>51.54</v>
      </c>
      <c r="D10" s="25">
        <v>49</v>
      </c>
      <c r="E10" s="25">
        <v>27</v>
      </c>
      <c r="F10" s="25">
        <v>2</v>
      </c>
      <c r="G10" s="25">
        <v>20</v>
      </c>
      <c r="H10" s="24">
        <v>39</v>
      </c>
      <c r="I10" s="25">
        <v>42</v>
      </c>
      <c r="J10" s="25">
        <v>20</v>
      </c>
      <c r="K10" s="25">
        <v>2</v>
      </c>
      <c r="L10" s="26">
        <v>20</v>
      </c>
      <c r="M10" s="26">
        <v>9</v>
      </c>
      <c r="N10" s="26">
        <v>0</v>
      </c>
      <c r="O10" s="26">
        <v>0</v>
      </c>
      <c r="P10" s="26">
        <v>9</v>
      </c>
    </row>
    <row r="11" spans="1:17" ht="15.95" customHeight="1" x14ac:dyDescent="0.25">
      <c r="A11" s="8" t="s">
        <v>12</v>
      </c>
      <c r="B11" s="9" t="s">
        <v>13</v>
      </c>
      <c r="C11" s="24">
        <v>11.5</v>
      </c>
      <c r="D11" s="25">
        <v>15</v>
      </c>
      <c r="E11" s="25">
        <v>10</v>
      </c>
      <c r="F11" s="25">
        <v>5</v>
      </c>
      <c r="G11" s="25" t="s">
        <v>42</v>
      </c>
      <c r="H11" s="24">
        <v>8.5</v>
      </c>
      <c r="I11" s="25">
        <v>9</v>
      </c>
      <c r="J11" s="25">
        <v>6</v>
      </c>
      <c r="K11" s="25">
        <v>3</v>
      </c>
      <c r="L11" s="26" t="s">
        <v>42</v>
      </c>
      <c r="M11" s="26">
        <v>1</v>
      </c>
      <c r="N11" s="26">
        <v>1</v>
      </c>
      <c r="O11" s="26">
        <v>0</v>
      </c>
      <c r="P11" s="26" t="s">
        <v>42</v>
      </c>
    </row>
    <row r="12" spans="1:17" ht="15.95" customHeight="1" x14ac:dyDescent="0.25">
      <c r="A12" s="8" t="s">
        <v>14</v>
      </c>
      <c r="B12" s="9" t="s">
        <v>15</v>
      </c>
      <c r="C12" s="24">
        <v>24.9</v>
      </c>
      <c r="D12" s="25">
        <v>27</v>
      </c>
      <c r="E12" s="25">
        <v>27</v>
      </c>
      <c r="F12" s="25" t="s">
        <v>42</v>
      </c>
      <c r="G12" s="25" t="s">
        <v>42</v>
      </c>
      <c r="H12" s="24">
        <v>20</v>
      </c>
      <c r="I12" s="25">
        <v>22</v>
      </c>
      <c r="J12" s="25">
        <v>22</v>
      </c>
      <c r="K12" s="25" t="s">
        <v>42</v>
      </c>
      <c r="L12" s="26" t="s">
        <v>42</v>
      </c>
      <c r="M12" s="26">
        <v>5</v>
      </c>
      <c r="N12" s="26">
        <v>5</v>
      </c>
      <c r="O12" s="26" t="s">
        <v>42</v>
      </c>
      <c r="P12" s="26" t="s">
        <v>42</v>
      </c>
    </row>
    <row r="13" spans="1:17" ht="15.95" customHeight="1" x14ac:dyDescent="0.25">
      <c r="A13" s="8" t="s">
        <v>16</v>
      </c>
      <c r="B13" s="9" t="s">
        <v>17</v>
      </c>
      <c r="C13" s="24">
        <v>36</v>
      </c>
      <c r="D13" s="25">
        <v>38</v>
      </c>
      <c r="E13" s="25">
        <v>22</v>
      </c>
      <c r="F13" s="25">
        <v>1</v>
      </c>
      <c r="G13" s="25">
        <v>15</v>
      </c>
      <c r="H13" s="24">
        <v>30</v>
      </c>
      <c r="I13" s="25">
        <v>32</v>
      </c>
      <c r="J13" s="25">
        <v>16</v>
      </c>
      <c r="K13" s="25">
        <v>1</v>
      </c>
      <c r="L13" s="26">
        <v>15</v>
      </c>
      <c r="M13" s="26">
        <v>7</v>
      </c>
      <c r="N13" s="26">
        <v>0</v>
      </c>
      <c r="O13" s="26">
        <v>1</v>
      </c>
      <c r="P13" s="26">
        <v>6</v>
      </c>
      <c r="Q13" s="23"/>
    </row>
    <row r="14" spans="1:17" ht="15.95" customHeight="1" x14ac:dyDescent="0.25">
      <c r="A14" s="8" t="s">
        <v>18</v>
      </c>
      <c r="B14" s="9" t="s">
        <v>19</v>
      </c>
      <c r="C14" s="24">
        <v>62.5</v>
      </c>
      <c r="D14" s="25">
        <v>68</v>
      </c>
      <c r="E14" s="25">
        <v>33</v>
      </c>
      <c r="F14" s="25" t="s">
        <v>42</v>
      </c>
      <c r="G14" s="25">
        <v>35</v>
      </c>
      <c r="H14" s="24">
        <v>48.75</v>
      </c>
      <c r="I14" s="25">
        <v>55</v>
      </c>
      <c r="J14" s="25">
        <v>24</v>
      </c>
      <c r="K14" s="25" t="s">
        <v>42</v>
      </c>
      <c r="L14" s="26">
        <v>31</v>
      </c>
      <c r="M14" s="26">
        <v>14</v>
      </c>
      <c r="N14" s="26">
        <v>0</v>
      </c>
      <c r="O14" s="26" t="s">
        <v>42</v>
      </c>
      <c r="P14" s="26">
        <v>14</v>
      </c>
    </row>
    <row r="15" spans="1:17" ht="15.95" customHeight="1" x14ac:dyDescent="0.25">
      <c r="A15" s="29" t="s">
        <v>20</v>
      </c>
      <c r="B15" s="29"/>
      <c r="C15" s="12">
        <f t="shared" ref="C15:P15" si="0">SUM(C8:C14)</f>
        <v>316.44</v>
      </c>
      <c r="D15" s="13">
        <f t="shared" si="0"/>
        <v>332</v>
      </c>
      <c r="E15" s="13">
        <f t="shared" si="0"/>
        <v>197</v>
      </c>
      <c r="F15" s="13">
        <f t="shared" si="0"/>
        <v>40</v>
      </c>
      <c r="G15" s="13">
        <f t="shared" si="0"/>
        <v>95</v>
      </c>
      <c r="H15" s="12">
        <f t="shared" si="0"/>
        <v>247.75</v>
      </c>
      <c r="I15" s="13">
        <f t="shared" si="0"/>
        <v>265</v>
      </c>
      <c r="J15" s="13">
        <f t="shared" si="0"/>
        <v>137</v>
      </c>
      <c r="K15" s="13">
        <f t="shared" si="0"/>
        <v>38</v>
      </c>
      <c r="L15" s="14">
        <f t="shared" si="0"/>
        <v>90</v>
      </c>
      <c r="M15" s="14">
        <f t="shared" si="0"/>
        <v>48</v>
      </c>
      <c r="N15" s="14">
        <f t="shared" si="0"/>
        <v>7</v>
      </c>
      <c r="O15" s="14">
        <f t="shared" si="0"/>
        <v>3</v>
      </c>
      <c r="P15" s="14">
        <f t="shared" si="0"/>
        <v>38</v>
      </c>
    </row>
    <row r="16" spans="1:17" ht="15.95" customHeight="1" x14ac:dyDescent="0.25">
      <c r="A16" s="34" t="s">
        <v>43</v>
      </c>
      <c r="B16" s="35"/>
      <c r="C16" s="28">
        <f>C15/105</f>
        <v>3.0137142857142858</v>
      </c>
      <c r="D16" s="28">
        <f>D15/105</f>
        <v>3.1619047619047618</v>
      </c>
      <c r="E16" s="28">
        <f>E15/7</f>
        <v>28.142857142857142</v>
      </c>
      <c r="F16" s="28">
        <f>F15/16</f>
        <v>2.5</v>
      </c>
      <c r="G16" s="28">
        <f>G15/74</f>
        <v>1.2837837837837838</v>
      </c>
      <c r="H16" s="28">
        <f>H15/105</f>
        <v>2.3595238095238096</v>
      </c>
      <c r="I16" s="28">
        <f>I15/105</f>
        <v>2.5238095238095237</v>
      </c>
      <c r="J16" s="28">
        <f>J15/7</f>
        <v>19.571428571428573</v>
      </c>
      <c r="K16" s="28">
        <f>K15/16</f>
        <v>2.375</v>
      </c>
      <c r="L16" s="22">
        <f>L15/74</f>
        <v>1.2162162162162162</v>
      </c>
      <c r="M16" s="22">
        <f>M15/105</f>
        <v>0.45714285714285713</v>
      </c>
      <c r="N16" s="22">
        <f>N15/7</f>
        <v>1</v>
      </c>
      <c r="O16" s="22">
        <f>O15/16</f>
        <v>0.1875</v>
      </c>
      <c r="P16" s="22">
        <f>P15/74</f>
        <v>0.51351351351351349</v>
      </c>
    </row>
    <row r="17" spans="1:17" ht="15.95" customHeight="1" x14ac:dyDescent="0.25">
      <c r="A17" s="31" t="s">
        <v>21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3"/>
    </row>
    <row r="18" spans="1:17" ht="15.95" customHeight="1" x14ac:dyDescent="0.25">
      <c r="A18" s="8" t="s">
        <v>6</v>
      </c>
      <c r="B18" s="9" t="s">
        <v>22</v>
      </c>
      <c r="C18" s="24">
        <v>47.25</v>
      </c>
      <c r="D18" s="25">
        <v>52</v>
      </c>
      <c r="E18" s="25">
        <v>25</v>
      </c>
      <c r="F18" s="25">
        <v>1</v>
      </c>
      <c r="G18" s="25">
        <v>26</v>
      </c>
      <c r="H18" s="24">
        <v>34.75</v>
      </c>
      <c r="I18" s="25">
        <v>41</v>
      </c>
      <c r="J18" s="25">
        <v>16</v>
      </c>
      <c r="K18" s="25">
        <v>1</v>
      </c>
      <c r="L18" s="26">
        <v>24</v>
      </c>
      <c r="M18" s="26">
        <v>14</v>
      </c>
      <c r="N18" s="26">
        <v>0</v>
      </c>
      <c r="O18" s="26">
        <v>0</v>
      </c>
      <c r="P18" s="26">
        <v>14</v>
      </c>
    </row>
    <row r="19" spans="1:17" ht="15.95" customHeight="1" x14ac:dyDescent="0.25">
      <c r="A19" s="8" t="s">
        <v>8</v>
      </c>
      <c r="B19" s="9" t="s">
        <v>23</v>
      </c>
      <c r="C19" s="24">
        <v>14.5</v>
      </c>
      <c r="D19" s="25">
        <v>17</v>
      </c>
      <c r="E19" s="25">
        <v>9</v>
      </c>
      <c r="F19" s="25" t="s">
        <v>42</v>
      </c>
      <c r="G19" s="25">
        <v>8</v>
      </c>
      <c r="H19" s="24">
        <v>13</v>
      </c>
      <c r="I19" s="25">
        <v>15</v>
      </c>
      <c r="J19" s="25">
        <v>7</v>
      </c>
      <c r="K19" s="25" t="s">
        <v>42</v>
      </c>
      <c r="L19" s="26">
        <v>8</v>
      </c>
      <c r="M19" s="26">
        <v>8</v>
      </c>
      <c r="N19" s="26">
        <v>0</v>
      </c>
      <c r="O19" s="26" t="s">
        <v>42</v>
      </c>
      <c r="P19" s="26">
        <v>8</v>
      </c>
    </row>
    <row r="20" spans="1:17" ht="15.95" customHeight="1" x14ac:dyDescent="0.25">
      <c r="A20" s="8" t="s">
        <v>10</v>
      </c>
      <c r="B20" s="9" t="s">
        <v>24</v>
      </c>
      <c r="C20" s="24">
        <v>34</v>
      </c>
      <c r="D20" s="25">
        <v>44</v>
      </c>
      <c r="E20" s="25">
        <v>21</v>
      </c>
      <c r="F20" s="25" t="s">
        <v>42</v>
      </c>
      <c r="G20" s="25">
        <v>23</v>
      </c>
      <c r="H20" s="24">
        <v>27</v>
      </c>
      <c r="I20" s="25">
        <v>36</v>
      </c>
      <c r="J20" s="25">
        <v>13</v>
      </c>
      <c r="K20" s="25" t="s">
        <v>42</v>
      </c>
      <c r="L20" s="26">
        <v>23</v>
      </c>
      <c r="M20" s="26">
        <v>21</v>
      </c>
      <c r="N20" s="26">
        <v>1</v>
      </c>
      <c r="O20" s="26" t="s">
        <v>42</v>
      </c>
      <c r="P20" s="26">
        <v>20</v>
      </c>
      <c r="Q20" s="23"/>
    </row>
    <row r="21" spans="1:17" ht="15.95" customHeight="1" x14ac:dyDescent="0.25">
      <c r="A21" s="8" t="s">
        <v>12</v>
      </c>
      <c r="B21" s="9" t="s">
        <v>25</v>
      </c>
      <c r="C21" s="24">
        <v>61</v>
      </c>
      <c r="D21" s="25">
        <v>56</v>
      </c>
      <c r="E21" s="25">
        <v>29</v>
      </c>
      <c r="F21" s="25">
        <v>4</v>
      </c>
      <c r="G21" s="25">
        <v>23</v>
      </c>
      <c r="H21" s="24">
        <v>54</v>
      </c>
      <c r="I21" s="25">
        <v>50</v>
      </c>
      <c r="J21" s="25">
        <v>23</v>
      </c>
      <c r="K21" s="25">
        <v>4</v>
      </c>
      <c r="L21" s="26">
        <v>23</v>
      </c>
      <c r="M21" s="26">
        <v>9</v>
      </c>
      <c r="N21" s="26">
        <v>2</v>
      </c>
      <c r="O21" s="26">
        <v>0</v>
      </c>
      <c r="P21" s="26">
        <v>7</v>
      </c>
      <c r="Q21" s="23"/>
    </row>
    <row r="22" spans="1:17" ht="15.95" customHeight="1" x14ac:dyDescent="0.25">
      <c r="A22" s="29" t="s">
        <v>20</v>
      </c>
      <c r="B22" s="29"/>
      <c r="C22" s="12">
        <f t="shared" ref="C22:P22" si="1">SUM(C18:C21)</f>
        <v>156.75</v>
      </c>
      <c r="D22" s="13">
        <f t="shared" si="1"/>
        <v>169</v>
      </c>
      <c r="E22" s="13">
        <f t="shared" si="1"/>
        <v>84</v>
      </c>
      <c r="F22" s="13">
        <f t="shared" si="1"/>
        <v>5</v>
      </c>
      <c r="G22" s="13">
        <f t="shared" si="1"/>
        <v>80</v>
      </c>
      <c r="H22" s="12">
        <f t="shared" si="1"/>
        <v>128.75</v>
      </c>
      <c r="I22" s="13">
        <f t="shared" si="1"/>
        <v>142</v>
      </c>
      <c r="J22" s="13">
        <f t="shared" si="1"/>
        <v>59</v>
      </c>
      <c r="K22" s="13">
        <f t="shared" si="1"/>
        <v>5</v>
      </c>
      <c r="L22" s="14">
        <f t="shared" si="1"/>
        <v>78</v>
      </c>
      <c r="M22" s="14">
        <f t="shared" si="1"/>
        <v>52</v>
      </c>
      <c r="N22" s="14">
        <f t="shared" si="1"/>
        <v>3</v>
      </c>
      <c r="O22" s="14">
        <f t="shared" si="1"/>
        <v>0</v>
      </c>
      <c r="P22" s="14">
        <f t="shared" si="1"/>
        <v>49</v>
      </c>
    </row>
    <row r="23" spans="1:17" ht="15.95" customHeight="1" x14ac:dyDescent="0.25">
      <c r="A23" s="34" t="s">
        <v>43</v>
      </c>
      <c r="B23" s="35"/>
      <c r="C23" s="28">
        <f>C22/87</f>
        <v>1.8017241379310345</v>
      </c>
      <c r="D23" s="28">
        <f>D22/87</f>
        <v>1.9425287356321839</v>
      </c>
      <c r="E23" s="28">
        <f>E22/4</f>
        <v>21</v>
      </c>
      <c r="F23" s="28">
        <f>F22/3</f>
        <v>1.6666666666666667</v>
      </c>
      <c r="G23" s="28">
        <f>G22/78</f>
        <v>1.0256410256410255</v>
      </c>
      <c r="H23" s="28">
        <f>H22/87</f>
        <v>1.4798850574712643</v>
      </c>
      <c r="I23" s="28">
        <f>I22/87</f>
        <v>1.632183908045977</v>
      </c>
      <c r="J23" s="28">
        <f>J22/4</f>
        <v>14.75</v>
      </c>
      <c r="K23" s="28">
        <f>K22/3</f>
        <v>1.6666666666666667</v>
      </c>
      <c r="L23" s="22">
        <f>L22/78</f>
        <v>1</v>
      </c>
      <c r="M23" s="22">
        <f>M22/87</f>
        <v>0.5977011494252874</v>
      </c>
      <c r="N23" s="22">
        <f>N22/4</f>
        <v>0.75</v>
      </c>
      <c r="O23" s="22">
        <f>O22/3</f>
        <v>0</v>
      </c>
      <c r="P23" s="22">
        <f>P22/78</f>
        <v>0.62820512820512819</v>
      </c>
    </row>
    <row r="24" spans="1:17" ht="27.75" customHeight="1" x14ac:dyDescent="0.25">
      <c r="A24" s="30" t="s">
        <v>26</v>
      </c>
      <c r="B24" s="30"/>
      <c r="C24" s="16">
        <f t="shared" ref="C24:P24" si="2">SUM(C15,C22)</f>
        <v>473.19</v>
      </c>
      <c r="D24" s="17">
        <f t="shared" si="2"/>
        <v>501</v>
      </c>
      <c r="E24" s="17">
        <f t="shared" si="2"/>
        <v>281</v>
      </c>
      <c r="F24" s="17">
        <f t="shared" si="2"/>
        <v>45</v>
      </c>
      <c r="G24" s="17">
        <f t="shared" si="2"/>
        <v>175</v>
      </c>
      <c r="H24" s="18">
        <f t="shared" si="2"/>
        <v>376.5</v>
      </c>
      <c r="I24" s="17">
        <f t="shared" si="2"/>
        <v>407</v>
      </c>
      <c r="J24" s="17">
        <f t="shared" si="2"/>
        <v>196</v>
      </c>
      <c r="K24" s="17">
        <f t="shared" si="2"/>
        <v>43</v>
      </c>
      <c r="L24" s="21">
        <f t="shared" si="2"/>
        <v>168</v>
      </c>
      <c r="M24" s="21">
        <f t="shared" si="2"/>
        <v>100</v>
      </c>
      <c r="N24" s="21">
        <f t="shared" si="2"/>
        <v>10</v>
      </c>
      <c r="O24" s="21">
        <f t="shared" si="2"/>
        <v>3</v>
      </c>
      <c r="P24" s="21">
        <f t="shared" si="2"/>
        <v>87</v>
      </c>
    </row>
    <row r="25" spans="1:17" ht="32.25" customHeight="1" x14ac:dyDescent="0.25">
      <c r="A25" s="30" t="s">
        <v>27</v>
      </c>
      <c r="B25" s="30"/>
      <c r="C25" s="16">
        <f>C24/192</f>
        <v>2.4645312499999998</v>
      </c>
      <c r="D25" s="16">
        <f>D24/192</f>
        <v>2.609375</v>
      </c>
      <c r="E25" s="16">
        <f>E24/11</f>
        <v>25.545454545454547</v>
      </c>
      <c r="F25" s="16">
        <f>F24/19</f>
        <v>2.3684210526315788</v>
      </c>
      <c r="G25" s="16">
        <f>G24/152</f>
        <v>1.1513157894736843</v>
      </c>
      <c r="H25" s="18">
        <f>H24/192</f>
        <v>1.9609375</v>
      </c>
      <c r="I25" s="16">
        <f>I24/192</f>
        <v>2.1197916666666665</v>
      </c>
      <c r="J25" s="16">
        <f>J24/11</f>
        <v>17.818181818181817</v>
      </c>
      <c r="K25" s="16">
        <f>K24/19</f>
        <v>2.263157894736842</v>
      </c>
      <c r="L25" s="19">
        <f>L24/152</f>
        <v>1.1052631578947369</v>
      </c>
      <c r="M25" s="19">
        <f>M24/192</f>
        <v>0.52083333333333337</v>
      </c>
      <c r="N25" s="19">
        <f>N24/11</f>
        <v>0.90909090909090906</v>
      </c>
      <c r="O25" s="21">
        <f>O24/19</f>
        <v>0.15789473684210525</v>
      </c>
      <c r="P25" s="19">
        <f>P24/152</f>
        <v>0.57236842105263153</v>
      </c>
    </row>
  </sheetData>
  <mergeCells count="22">
    <mergeCell ref="A2:P2"/>
    <mergeCell ref="I5:L5"/>
    <mergeCell ref="M4:P4"/>
    <mergeCell ref="M5:P5"/>
    <mergeCell ref="A7:P7"/>
    <mergeCell ref="D4:G4"/>
    <mergeCell ref="H4:L4"/>
    <mergeCell ref="H5:H6"/>
    <mergeCell ref="A4:A6"/>
    <mergeCell ref="B4:B6"/>
    <mergeCell ref="C4:C6"/>
    <mergeCell ref="D5:D6"/>
    <mergeCell ref="E5:E6"/>
    <mergeCell ref="F5:F6"/>
    <mergeCell ref="G5:G6"/>
    <mergeCell ref="A15:B15"/>
    <mergeCell ref="A22:B22"/>
    <mergeCell ref="A24:B24"/>
    <mergeCell ref="A25:B25"/>
    <mergeCell ref="A17:P17"/>
    <mergeCell ref="A16:B16"/>
    <mergeCell ref="A23:B23"/>
  </mergeCells>
  <pageMargins left="0.70000000000000007" right="0.70000000000000007" top="0.75" bottom="0.75" header="0.30000000000000004" footer="0.30000000000000004"/>
  <pageSetup orientation="portrait" r:id="rId1"/>
  <ignoredErrors>
    <ignoredError sqref="O2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2:V23"/>
  <sheetViews>
    <sheetView workbookViewId="0">
      <selection activeCell="V23" sqref="V23"/>
    </sheetView>
  </sheetViews>
  <sheetFormatPr defaultRowHeight="15" x14ac:dyDescent="0.25"/>
  <cols>
    <col min="1" max="1" width="5.42578125" customWidth="1"/>
    <col min="2" max="2" width="27.140625" customWidth="1"/>
    <col min="3" max="3" width="7.85546875" customWidth="1"/>
    <col min="4" max="4" width="6.5703125" customWidth="1"/>
    <col min="5" max="5" width="7.42578125" customWidth="1"/>
    <col min="6" max="6" width="7" customWidth="1"/>
    <col min="7" max="7" width="7.140625" customWidth="1"/>
    <col min="8" max="8" width="6.7109375" customWidth="1"/>
    <col min="9" max="9" width="7.42578125" customWidth="1"/>
    <col min="10" max="10" width="7" customWidth="1"/>
    <col min="11" max="12" width="6.7109375" customWidth="1"/>
    <col min="13" max="13" width="7.140625" customWidth="1"/>
    <col min="14" max="14" width="7.28515625" customWidth="1"/>
    <col min="15" max="15" width="6.5703125" customWidth="1"/>
    <col min="16" max="16" width="6.28515625" customWidth="1"/>
    <col min="17" max="17" width="7.140625" customWidth="1"/>
    <col min="18" max="18" width="7" customWidth="1"/>
    <col min="19" max="19" width="6.42578125" customWidth="1"/>
    <col min="20" max="20" width="5.85546875" customWidth="1"/>
    <col min="21" max="21" width="7.140625" customWidth="1"/>
    <col min="22" max="22" width="6.5703125" customWidth="1"/>
  </cols>
  <sheetData>
    <row r="2" spans="1:22" ht="15.75" x14ac:dyDescent="0.25">
      <c r="A2" s="36" t="s">
        <v>45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6.5" customHeight="1" x14ac:dyDescent="0.25">
      <c r="A4" s="49" t="s">
        <v>0</v>
      </c>
      <c r="B4" s="62" t="s">
        <v>1</v>
      </c>
      <c r="C4" s="58" t="s">
        <v>35</v>
      </c>
      <c r="D4" s="59"/>
      <c r="E4" s="59"/>
      <c r="F4" s="59"/>
      <c r="G4" s="59"/>
      <c r="H4" s="59"/>
      <c r="I4" s="59"/>
      <c r="J4" s="60"/>
      <c r="K4" s="58" t="s">
        <v>37</v>
      </c>
      <c r="L4" s="59"/>
      <c r="M4" s="59"/>
      <c r="N4" s="59"/>
      <c r="O4" s="59"/>
      <c r="P4" s="59"/>
      <c r="Q4" s="59"/>
      <c r="R4" s="60"/>
      <c r="S4" s="65" t="s">
        <v>38</v>
      </c>
      <c r="T4" s="65"/>
      <c r="U4" s="65"/>
      <c r="V4" s="65"/>
    </row>
    <row r="5" spans="1:22" ht="18" customHeight="1" x14ac:dyDescent="0.25">
      <c r="A5" s="51"/>
      <c r="B5" s="63"/>
      <c r="C5" s="58" t="s">
        <v>32</v>
      </c>
      <c r="D5" s="59"/>
      <c r="E5" s="59"/>
      <c r="F5" s="60"/>
      <c r="G5" s="58" t="s">
        <v>36</v>
      </c>
      <c r="H5" s="59"/>
      <c r="I5" s="59"/>
      <c r="J5" s="60"/>
      <c r="K5" s="58" t="s">
        <v>32</v>
      </c>
      <c r="L5" s="59"/>
      <c r="M5" s="59"/>
      <c r="N5" s="60"/>
      <c r="O5" s="58" t="s">
        <v>36</v>
      </c>
      <c r="P5" s="59"/>
      <c r="Q5" s="59"/>
      <c r="R5" s="60"/>
      <c r="S5" s="52" t="s">
        <v>32</v>
      </c>
      <c r="T5" s="52" t="s">
        <v>2</v>
      </c>
      <c r="U5" s="54" t="s">
        <v>3</v>
      </c>
      <c r="V5" s="54" t="s">
        <v>4</v>
      </c>
    </row>
    <row r="6" spans="1:22" ht="30.75" customHeight="1" x14ac:dyDescent="0.25">
      <c r="A6" s="50"/>
      <c r="B6" s="64"/>
      <c r="C6" s="11" t="s">
        <v>32</v>
      </c>
      <c r="D6" s="11" t="s">
        <v>2</v>
      </c>
      <c r="E6" s="6" t="s">
        <v>3</v>
      </c>
      <c r="F6" s="6" t="s">
        <v>4</v>
      </c>
      <c r="G6" s="11" t="s">
        <v>32</v>
      </c>
      <c r="H6" s="11" t="s">
        <v>2</v>
      </c>
      <c r="I6" s="6" t="s">
        <v>3</v>
      </c>
      <c r="J6" s="6" t="s">
        <v>4</v>
      </c>
      <c r="K6" s="11" t="s">
        <v>32</v>
      </c>
      <c r="L6" s="11" t="s">
        <v>2</v>
      </c>
      <c r="M6" s="6" t="s">
        <v>3</v>
      </c>
      <c r="N6" s="6" t="s">
        <v>4</v>
      </c>
      <c r="O6" s="11" t="s">
        <v>32</v>
      </c>
      <c r="P6" s="11" t="s">
        <v>2</v>
      </c>
      <c r="Q6" s="6" t="s">
        <v>3</v>
      </c>
      <c r="R6" s="6" t="s">
        <v>4</v>
      </c>
      <c r="S6" s="53"/>
      <c r="T6" s="53"/>
      <c r="U6" s="55"/>
      <c r="V6" s="55"/>
    </row>
    <row r="7" spans="1:22" ht="15.95" customHeight="1" x14ac:dyDescent="0.25">
      <c r="A7" s="46" t="s">
        <v>5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8"/>
    </row>
    <row r="8" spans="1:22" ht="15.95" customHeight="1" x14ac:dyDescent="0.25">
      <c r="A8" s="2" t="s">
        <v>6</v>
      </c>
      <c r="B8" s="7" t="s">
        <v>7</v>
      </c>
      <c r="C8" s="27">
        <v>46</v>
      </c>
      <c r="D8" s="27">
        <v>26</v>
      </c>
      <c r="E8" s="27">
        <f>18+1</f>
        <v>19</v>
      </c>
      <c r="F8" s="27" t="s">
        <v>42</v>
      </c>
      <c r="G8" s="27">
        <v>33</v>
      </c>
      <c r="H8" s="27">
        <v>15</v>
      </c>
      <c r="I8" s="27">
        <f>17+1</f>
        <v>18</v>
      </c>
      <c r="J8" s="27" t="s">
        <v>42</v>
      </c>
      <c r="K8" s="27">
        <v>12</v>
      </c>
      <c r="L8" s="27">
        <v>2</v>
      </c>
      <c r="M8" s="27">
        <f>9+1</f>
        <v>10</v>
      </c>
      <c r="N8" s="27" t="s">
        <v>42</v>
      </c>
      <c r="O8" s="27">
        <v>12</v>
      </c>
      <c r="P8" s="27">
        <v>2</v>
      </c>
      <c r="Q8" s="27">
        <f>9+1</f>
        <v>10</v>
      </c>
      <c r="R8" s="27" t="s">
        <v>42</v>
      </c>
      <c r="S8" s="27">
        <v>0</v>
      </c>
      <c r="T8" s="27">
        <v>0</v>
      </c>
      <c r="U8" s="27">
        <v>0</v>
      </c>
      <c r="V8" s="27" t="s">
        <v>42</v>
      </c>
    </row>
    <row r="9" spans="1:22" ht="15.95" customHeight="1" x14ac:dyDescent="0.25">
      <c r="A9" s="2" t="s">
        <v>8</v>
      </c>
      <c r="B9" s="7" t="s">
        <v>9</v>
      </c>
      <c r="C9" s="27">
        <v>32</v>
      </c>
      <c r="D9" s="27">
        <v>16</v>
      </c>
      <c r="E9" s="27">
        <v>2</v>
      </c>
      <c r="F9" s="27">
        <v>14</v>
      </c>
      <c r="G9" s="27">
        <v>9</v>
      </c>
      <c r="H9" s="27">
        <v>6</v>
      </c>
      <c r="I9" s="27">
        <v>1</v>
      </c>
      <c r="J9" s="27">
        <v>2</v>
      </c>
      <c r="K9" s="27">
        <v>15</v>
      </c>
      <c r="L9" s="27">
        <v>5</v>
      </c>
      <c r="M9" s="27">
        <v>0</v>
      </c>
      <c r="N9" s="27">
        <v>10</v>
      </c>
      <c r="O9" s="27">
        <v>10</v>
      </c>
      <c r="P9" s="27">
        <v>4</v>
      </c>
      <c r="Q9" s="27">
        <v>0</v>
      </c>
      <c r="R9" s="27">
        <v>6</v>
      </c>
      <c r="S9" s="27">
        <v>0</v>
      </c>
      <c r="T9" s="27">
        <v>0</v>
      </c>
      <c r="U9" s="27">
        <v>0</v>
      </c>
      <c r="V9" s="27">
        <v>0</v>
      </c>
    </row>
    <row r="10" spans="1:22" ht="15.95" customHeight="1" x14ac:dyDescent="0.25">
      <c r="A10" s="2" t="s">
        <v>10</v>
      </c>
      <c r="B10" s="7" t="s">
        <v>11</v>
      </c>
      <c r="C10" s="27">
        <v>23</v>
      </c>
      <c r="D10" s="27">
        <v>15</v>
      </c>
      <c r="E10" s="27">
        <v>0</v>
      </c>
      <c r="F10" s="27">
        <v>8</v>
      </c>
      <c r="G10" s="27">
        <v>9</v>
      </c>
      <c r="H10" s="27">
        <v>6</v>
      </c>
      <c r="I10" s="27">
        <v>0</v>
      </c>
      <c r="J10" s="27">
        <v>3</v>
      </c>
      <c r="K10" s="27">
        <v>16</v>
      </c>
      <c r="L10" s="27">
        <v>5</v>
      </c>
      <c r="M10" s="27">
        <v>1</v>
      </c>
      <c r="N10" s="27">
        <v>10</v>
      </c>
      <c r="O10" s="27">
        <v>9</v>
      </c>
      <c r="P10" s="27">
        <v>5</v>
      </c>
      <c r="Q10" s="27">
        <v>1</v>
      </c>
      <c r="R10" s="27">
        <v>3</v>
      </c>
      <c r="S10" s="27">
        <v>3</v>
      </c>
      <c r="T10" s="27">
        <v>0</v>
      </c>
      <c r="U10" s="27">
        <v>1</v>
      </c>
      <c r="V10" s="27">
        <v>2</v>
      </c>
    </row>
    <row r="11" spans="1:22" ht="15.95" customHeight="1" x14ac:dyDescent="0.25">
      <c r="A11" s="2" t="s">
        <v>12</v>
      </c>
      <c r="B11" s="7" t="s">
        <v>13</v>
      </c>
      <c r="C11" s="27">
        <v>5</v>
      </c>
      <c r="D11" s="27">
        <v>3</v>
      </c>
      <c r="E11" s="27">
        <v>2</v>
      </c>
      <c r="F11" s="27" t="s">
        <v>42</v>
      </c>
      <c r="G11" s="27">
        <v>0</v>
      </c>
      <c r="H11" s="27">
        <v>0</v>
      </c>
      <c r="I11" s="27">
        <v>0</v>
      </c>
      <c r="J11" s="27" t="s">
        <v>42</v>
      </c>
      <c r="K11" s="27">
        <v>3</v>
      </c>
      <c r="L11" s="27">
        <v>2</v>
      </c>
      <c r="M11" s="27">
        <v>1</v>
      </c>
      <c r="N11" s="27" t="s">
        <v>42</v>
      </c>
      <c r="O11" s="27">
        <v>2</v>
      </c>
      <c r="P11" s="27">
        <v>1</v>
      </c>
      <c r="Q11" s="27">
        <v>1</v>
      </c>
      <c r="R11" s="27" t="s">
        <v>42</v>
      </c>
      <c r="S11" s="27">
        <v>1</v>
      </c>
      <c r="T11" s="27">
        <v>1</v>
      </c>
      <c r="U11" s="27">
        <v>0</v>
      </c>
      <c r="V11" s="27" t="s">
        <v>42</v>
      </c>
    </row>
    <row r="12" spans="1:22" ht="15.95" customHeight="1" x14ac:dyDescent="0.25">
      <c r="A12" s="2" t="s">
        <v>14</v>
      </c>
      <c r="B12" s="7" t="s">
        <v>15</v>
      </c>
      <c r="C12" s="27">
        <v>18</v>
      </c>
      <c r="D12" s="27">
        <v>18</v>
      </c>
      <c r="E12" s="27" t="s">
        <v>42</v>
      </c>
      <c r="F12" s="27" t="s">
        <v>42</v>
      </c>
      <c r="G12" s="27">
        <v>10</v>
      </c>
      <c r="H12" s="27">
        <v>10</v>
      </c>
      <c r="I12" s="27" t="s">
        <v>42</v>
      </c>
      <c r="J12" s="27" t="s">
        <v>42</v>
      </c>
      <c r="K12" s="27">
        <v>4</v>
      </c>
      <c r="L12" s="27">
        <v>4</v>
      </c>
      <c r="M12" s="27" t="s">
        <v>42</v>
      </c>
      <c r="N12" s="27" t="s">
        <v>42</v>
      </c>
      <c r="O12" s="27">
        <v>3</v>
      </c>
      <c r="P12" s="27">
        <v>3</v>
      </c>
      <c r="Q12" s="27" t="s">
        <v>42</v>
      </c>
      <c r="R12" s="27" t="s">
        <v>42</v>
      </c>
      <c r="S12" s="27">
        <v>0</v>
      </c>
      <c r="T12" s="27">
        <v>0</v>
      </c>
      <c r="U12" s="27" t="s">
        <v>42</v>
      </c>
      <c r="V12" s="27" t="s">
        <v>42</v>
      </c>
    </row>
    <row r="13" spans="1:22" ht="15.95" customHeight="1" x14ac:dyDescent="0.25">
      <c r="A13" s="2" t="s">
        <v>16</v>
      </c>
      <c r="B13" s="7" t="s">
        <v>17</v>
      </c>
      <c r="C13" s="27">
        <v>18</v>
      </c>
      <c r="D13" s="27">
        <v>11</v>
      </c>
      <c r="E13" s="27">
        <v>1</v>
      </c>
      <c r="F13" s="27">
        <v>6</v>
      </c>
      <c r="G13" s="27">
        <v>6</v>
      </c>
      <c r="H13" s="27">
        <v>3</v>
      </c>
      <c r="I13" s="27">
        <v>0</v>
      </c>
      <c r="J13" s="27">
        <v>3</v>
      </c>
      <c r="K13" s="27">
        <v>13</v>
      </c>
      <c r="L13" s="27">
        <v>5</v>
      </c>
      <c r="M13" s="27">
        <v>0</v>
      </c>
      <c r="N13" s="27">
        <v>8</v>
      </c>
      <c r="O13" s="27">
        <v>8</v>
      </c>
      <c r="P13" s="27">
        <v>4</v>
      </c>
      <c r="Q13" s="27">
        <v>0</v>
      </c>
      <c r="R13" s="27">
        <v>4</v>
      </c>
      <c r="S13" s="27">
        <v>1</v>
      </c>
      <c r="T13" s="27">
        <v>0</v>
      </c>
      <c r="U13" s="27">
        <v>0</v>
      </c>
      <c r="V13" s="27">
        <v>1</v>
      </c>
    </row>
    <row r="14" spans="1:22" ht="15.95" customHeight="1" x14ac:dyDescent="0.25">
      <c r="A14" s="2" t="s">
        <v>18</v>
      </c>
      <c r="B14" s="7" t="s">
        <v>19</v>
      </c>
      <c r="C14" s="27">
        <v>41</v>
      </c>
      <c r="D14" s="27">
        <v>21</v>
      </c>
      <c r="E14" s="27" t="s">
        <v>42</v>
      </c>
      <c r="F14" s="27">
        <v>20</v>
      </c>
      <c r="G14" s="27">
        <v>14</v>
      </c>
      <c r="H14" s="27">
        <v>9</v>
      </c>
      <c r="I14" s="27" t="s">
        <v>42</v>
      </c>
      <c r="J14" s="27">
        <v>5</v>
      </c>
      <c r="K14" s="27">
        <v>9</v>
      </c>
      <c r="L14" s="27">
        <v>3</v>
      </c>
      <c r="M14" s="27" t="s">
        <v>42</v>
      </c>
      <c r="N14" s="27">
        <v>6</v>
      </c>
      <c r="O14" s="27">
        <v>6</v>
      </c>
      <c r="P14" s="27">
        <v>3</v>
      </c>
      <c r="Q14" s="27" t="s">
        <v>42</v>
      </c>
      <c r="R14" s="27">
        <v>3</v>
      </c>
      <c r="S14" s="27">
        <v>5</v>
      </c>
      <c r="T14" s="27">
        <v>0</v>
      </c>
      <c r="U14" s="27" t="s">
        <v>42</v>
      </c>
      <c r="V14" s="27">
        <v>5</v>
      </c>
    </row>
    <row r="15" spans="1:22" ht="15.95" customHeight="1" x14ac:dyDescent="0.25">
      <c r="A15" s="61" t="s">
        <v>20</v>
      </c>
      <c r="B15" s="34"/>
      <c r="C15" s="15">
        <f t="shared" ref="C15:V15" si="0">SUM(C8:C14)</f>
        <v>183</v>
      </c>
      <c r="D15" s="15">
        <f t="shared" si="0"/>
        <v>110</v>
      </c>
      <c r="E15" s="15">
        <f t="shared" si="0"/>
        <v>24</v>
      </c>
      <c r="F15" s="15">
        <f t="shared" si="0"/>
        <v>48</v>
      </c>
      <c r="G15" s="15">
        <f t="shared" si="0"/>
        <v>81</v>
      </c>
      <c r="H15" s="15">
        <f t="shared" si="0"/>
        <v>49</v>
      </c>
      <c r="I15" s="15">
        <f t="shared" si="0"/>
        <v>19</v>
      </c>
      <c r="J15" s="15">
        <f t="shared" si="0"/>
        <v>13</v>
      </c>
      <c r="K15" s="15">
        <f t="shared" si="0"/>
        <v>72</v>
      </c>
      <c r="L15" s="15">
        <f t="shared" si="0"/>
        <v>26</v>
      </c>
      <c r="M15" s="15">
        <f t="shared" si="0"/>
        <v>12</v>
      </c>
      <c r="N15" s="15">
        <f t="shared" si="0"/>
        <v>34</v>
      </c>
      <c r="O15" s="15">
        <f t="shared" si="0"/>
        <v>50</v>
      </c>
      <c r="P15" s="15">
        <f t="shared" si="0"/>
        <v>22</v>
      </c>
      <c r="Q15" s="15">
        <f t="shared" si="0"/>
        <v>12</v>
      </c>
      <c r="R15" s="15">
        <f t="shared" si="0"/>
        <v>16</v>
      </c>
      <c r="S15" s="15">
        <f t="shared" si="0"/>
        <v>10</v>
      </c>
      <c r="T15" s="15">
        <f t="shared" si="0"/>
        <v>1</v>
      </c>
      <c r="U15" s="15">
        <f t="shared" si="0"/>
        <v>1</v>
      </c>
      <c r="V15" s="15">
        <f t="shared" si="0"/>
        <v>8</v>
      </c>
    </row>
    <row r="16" spans="1:22" ht="15.95" customHeight="1" x14ac:dyDescent="0.25">
      <c r="A16" s="46" t="s">
        <v>21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8"/>
    </row>
    <row r="17" spans="1:22" ht="15.95" customHeight="1" x14ac:dyDescent="0.25">
      <c r="A17" s="2" t="s">
        <v>6</v>
      </c>
      <c r="B17" s="7" t="s">
        <v>22</v>
      </c>
      <c r="C17" s="27">
        <v>18</v>
      </c>
      <c r="D17" s="27">
        <v>8</v>
      </c>
      <c r="E17" s="27">
        <v>1</v>
      </c>
      <c r="F17" s="27">
        <v>9</v>
      </c>
      <c r="G17" s="27">
        <v>7</v>
      </c>
      <c r="H17" s="27">
        <v>5</v>
      </c>
      <c r="I17" s="27">
        <v>0</v>
      </c>
      <c r="J17" s="27">
        <v>2</v>
      </c>
      <c r="K17" s="27">
        <v>20</v>
      </c>
      <c r="L17" s="27">
        <v>7</v>
      </c>
      <c r="M17" s="27">
        <v>0</v>
      </c>
      <c r="N17" s="27">
        <v>13</v>
      </c>
      <c r="O17" s="27">
        <v>6</v>
      </c>
      <c r="P17" s="27">
        <v>4</v>
      </c>
      <c r="Q17" s="27">
        <v>0</v>
      </c>
      <c r="R17" s="27">
        <v>2</v>
      </c>
      <c r="S17" s="27">
        <v>3</v>
      </c>
      <c r="T17" s="27">
        <v>1</v>
      </c>
      <c r="U17" s="27">
        <v>0</v>
      </c>
      <c r="V17" s="27">
        <v>2</v>
      </c>
    </row>
    <row r="18" spans="1:22" ht="15.95" customHeight="1" x14ac:dyDescent="0.25">
      <c r="A18" s="2" t="s">
        <v>8</v>
      </c>
      <c r="B18" s="7" t="s">
        <v>23</v>
      </c>
      <c r="C18" s="27">
        <v>7</v>
      </c>
      <c r="D18" s="27">
        <v>5</v>
      </c>
      <c r="E18" s="27" t="s">
        <v>42</v>
      </c>
      <c r="F18" s="27">
        <v>2</v>
      </c>
      <c r="G18" s="27">
        <v>3</v>
      </c>
      <c r="H18" s="27">
        <v>2</v>
      </c>
      <c r="I18" s="27" t="s">
        <v>42</v>
      </c>
      <c r="J18" s="27">
        <v>1</v>
      </c>
      <c r="K18" s="27">
        <v>5</v>
      </c>
      <c r="L18" s="27">
        <v>1</v>
      </c>
      <c r="M18" s="27" t="s">
        <v>42</v>
      </c>
      <c r="N18" s="27">
        <v>4</v>
      </c>
      <c r="O18" s="27">
        <v>3</v>
      </c>
      <c r="P18" s="27">
        <v>1</v>
      </c>
      <c r="Q18" s="27" t="s">
        <v>42</v>
      </c>
      <c r="R18" s="27">
        <v>2</v>
      </c>
      <c r="S18" s="27">
        <v>3</v>
      </c>
      <c r="T18" s="27">
        <v>1</v>
      </c>
      <c r="U18" s="27" t="s">
        <v>42</v>
      </c>
      <c r="V18" s="27">
        <v>2</v>
      </c>
    </row>
    <row r="19" spans="1:22" ht="15.95" customHeight="1" x14ac:dyDescent="0.25">
      <c r="A19" s="2" t="s">
        <v>10</v>
      </c>
      <c r="B19" s="7" t="s">
        <v>24</v>
      </c>
      <c r="C19" s="27">
        <v>23</v>
      </c>
      <c r="D19" s="27">
        <v>8</v>
      </c>
      <c r="E19" s="27" t="s">
        <v>42</v>
      </c>
      <c r="F19" s="27">
        <v>15</v>
      </c>
      <c r="G19" s="27">
        <v>2</v>
      </c>
      <c r="H19" s="27">
        <v>2</v>
      </c>
      <c r="I19" s="27" t="s">
        <v>42</v>
      </c>
      <c r="J19" s="27">
        <v>0</v>
      </c>
      <c r="K19" s="27">
        <v>13</v>
      </c>
      <c r="L19" s="27">
        <v>5</v>
      </c>
      <c r="M19" s="27" t="s">
        <v>42</v>
      </c>
      <c r="N19" s="27">
        <v>8</v>
      </c>
      <c r="O19" s="27">
        <v>7</v>
      </c>
      <c r="P19" s="27">
        <v>3</v>
      </c>
      <c r="Q19" s="27" t="s">
        <v>42</v>
      </c>
      <c r="R19" s="27">
        <v>4</v>
      </c>
      <c r="S19" s="27">
        <v>0</v>
      </c>
      <c r="T19" s="27">
        <v>0</v>
      </c>
      <c r="U19" s="27" t="s">
        <v>42</v>
      </c>
      <c r="V19" s="27">
        <v>0</v>
      </c>
    </row>
    <row r="20" spans="1:22" ht="15.95" customHeight="1" x14ac:dyDescent="0.25">
      <c r="A20" s="2" t="s">
        <v>12</v>
      </c>
      <c r="B20" s="7" t="s">
        <v>25</v>
      </c>
      <c r="C20" s="27">
        <v>34</v>
      </c>
      <c r="D20" s="27">
        <v>19</v>
      </c>
      <c r="E20" s="27">
        <v>2</v>
      </c>
      <c r="F20" s="27">
        <v>13</v>
      </c>
      <c r="G20" s="27">
        <v>10</v>
      </c>
      <c r="H20" s="27">
        <v>7</v>
      </c>
      <c r="I20" s="27">
        <v>1</v>
      </c>
      <c r="J20" s="27">
        <v>2</v>
      </c>
      <c r="K20" s="27">
        <v>16</v>
      </c>
      <c r="L20" s="27">
        <v>4</v>
      </c>
      <c r="M20" s="27">
        <v>2</v>
      </c>
      <c r="N20" s="27">
        <v>10</v>
      </c>
      <c r="O20" s="27">
        <v>10</v>
      </c>
      <c r="P20" s="27">
        <v>4</v>
      </c>
      <c r="Q20" s="27">
        <v>2</v>
      </c>
      <c r="R20" s="27">
        <v>4</v>
      </c>
      <c r="S20" s="27">
        <v>0</v>
      </c>
      <c r="T20" s="27">
        <v>0</v>
      </c>
      <c r="U20" s="27">
        <v>0</v>
      </c>
      <c r="V20" s="27">
        <v>0</v>
      </c>
    </row>
    <row r="21" spans="1:22" ht="15.95" customHeight="1" x14ac:dyDescent="0.25">
      <c r="A21" s="61" t="s">
        <v>20</v>
      </c>
      <c r="B21" s="34"/>
      <c r="C21" s="15">
        <f t="shared" ref="C21:V21" si="1">SUM(C17:C20)</f>
        <v>82</v>
      </c>
      <c r="D21" s="15">
        <f t="shared" si="1"/>
        <v>40</v>
      </c>
      <c r="E21" s="15">
        <f t="shared" si="1"/>
        <v>3</v>
      </c>
      <c r="F21" s="15">
        <f t="shared" si="1"/>
        <v>39</v>
      </c>
      <c r="G21" s="15">
        <f t="shared" si="1"/>
        <v>22</v>
      </c>
      <c r="H21" s="15">
        <f t="shared" si="1"/>
        <v>16</v>
      </c>
      <c r="I21" s="15">
        <f t="shared" si="1"/>
        <v>1</v>
      </c>
      <c r="J21" s="15">
        <f t="shared" si="1"/>
        <v>5</v>
      </c>
      <c r="K21" s="15">
        <f t="shared" si="1"/>
        <v>54</v>
      </c>
      <c r="L21" s="15">
        <f t="shared" si="1"/>
        <v>17</v>
      </c>
      <c r="M21" s="15">
        <f t="shared" si="1"/>
        <v>2</v>
      </c>
      <c r="N21" s="15">
        <f t="shared" si="1"/>
        <v>35</v>
      </c>
      <c r="O21" s="15">
        <f t="shared" si="1"/>
        <v>26</v>
      </c>
      <c r="P21" s="15">
        <f t="shared" si="1"/>
        <v>12</v>
      </c>
      <c r="Q21" s="15">
        <f t="shared" si="1"/>
        <v>2</v>
      </c>
      <c r="R21" s="15">
        <f t="shared" si="1"/>
        <v>12</v>
      </c>
      <c r="S21" s="15">
        <f t="shared" si="1"/>
        <v>6</v>
      </c>
      <c r="T21" s="15">
        <f t="shared" si="1"/>
        <v>2</v>
      </c>
      <c r="U21" s="15">
        <f t="shared" si="1"/>
        <v>0</v>
      </c>
      <c r="V21" s="15">
        <f t="shared" si="1"/>
        <v>4</v>
      </c>
    </row>
    <row r="22" spans="1:22" ht="32.25" customHeight="1" x14ac:dyDescent="0.25">
      <c r="A22" s="56" t="s">
        <v>26</v>
      </c>
      <c r="B22" s="57"/>
      <c r="C22" s="20">
        <f t="shared" ref="C22:V22" si="2">SUM(C15,C21)</f>
        <v>265</v>
      </c>
      <c r="D22" s="20">
        <f t="shared" si="2"/>
        <v>150</v>
      </c>
      <c r="E22" s="20">
        <f t="shared" si="2"/>
        <v>27</v>
      </c>
      <c r="F22" s="20">
        <f t="shared" si="2"/>
        <v>87</v>
      </c>
      <c r="G22" s="20">
        <f t="shared" si="2"/>
        <v>103</v>
      </c>
      <c r="H22" s="20">
        <f t="shared" si="2"/>
        <v>65</v>
      </c>
      <c r="I22" s="20">
        <f t="shared" si="2"/>
        <v>20</v>
      </c>
      <c r="J22" s="20">
        <f t="shared" si="2"/>
        <v>18</v>
      </c>
      <c r="K22" s="20">
        <f t="shared" si="2"/>
        <v>126</v>
      </c>
      <c r="L22" s="20">
        <f t="shared" si="2"/>
        <v>43</v>
      </c>
      <c r="M22" s="20">
        <f t="shared" si="2"/>
        <v>14</v>
      </c>
      <c r="N22" s="20">
        <f t="shared" si="2"/>
        <v>69</v>
      </c>
      <c r="O22" s="20">
        <f t="shared" si="2"/>
        <v>76</v>
      </c>
      <c r="P22" s="20">
        <f t="shared" si="2"/>
        <v>34</v>
      </c>
      <c r="Q22" s="20">
        <f t="shared" si="2"/>
        <v>14</v>
      </c>
      <c r="R22" s="20">
        <f t="shared" si="2"/>
        <v>28</v>
      </c>
      <c r="S22" s="20">
        <f t="shared" si="2"/>
        <v>16</v>
      </c>
      <c r="T22" s="20">
        <f t="shared" si="2"/>
        <v>3</v>
      </c>
      <c r="U22" s="20">
        <f t="shared" si="2"/>
        <v>1</v>
      </c>
      <c r="V22" s="20">
        <f t="shared" si="2"/>
        <v>12</v>
      </c>
    </row>
    <row r="23" spans="1:22" ht="35.25" customHeight="1" x14ac:dyDescent="0.25">
      <c r="A23" s="56" t="s">
        <v>27</v>
      </c>
      <c r="B23" s="57"/>
      <c r="C23" s="19">
        <f>C22/192</f>
        <v>1.3802083333333333</v>
      </c>
      <c r="D23" s="19">
        <f>D22/11</f>
        <v>13.636363636363637</v>
      </c>
      <c r="E23" s="19">
        <f>E22/19</f>
        <v>1.4210526315789473</v>
      </c>
      <c r="F23" s="19">
        <f>F22/152</f>
        <v>0.57236842105263153</v>
      </c>
      <c r="G23" s="19">
        <f>G22/192</f>
        <v>0.53645833333333337</v>
      </c>
      <c r="H23" s="19">
        <f>H22/11</f>
        <v>5.9090909090909092</v>
      </c>
      <c r="I23" s="19">
        <f>I22/19</f>
        <v>1.0526315789473684</v>
      </c>
      <c r="J23" s="19">
        <f>J22/152</f>
        <v>0.11842105263157894</v>
      </c>
      <c r="K23" s="19">
        <f>K22/192</f>
        <v>0.65625</v>
      </c>
      <c r="L23" s="19">
        <f>L22/11</f>
        <v>3.9090909090909092</v>
      </c>
      <c r="M23" s="19">
        <f>M22/19</f>
        <v>0.73684210526315785</v>
      </c>
      <c r="N23" s="19">
        <f>N22/152</f>
        <v>0.45394736842105265</v>
      </c>
      <c r="O23" s="19">
        <f>O22/192</f>
        <v>0.39583333333333331</v>
      </c>
      <c r="P23" s="19">
        <f>P22/11</f>
        <v>3.0909090909090908</v>
      </c>
      <c r="Q23" s="19">
        <f>Q22/19</f>
        <v>0.73684210526315785</v>
      </c>
      <c r="R23" s="19">
        <f>R22/152</f>
        <v>0.18421052631578946</v>
      </c>
      <c r="S23" s="19">
        <f>S22/192</f>
        <v>8.3333333333333329E-2</v>
      </c>
      <c r="T23" s="19">
        <f>T22/11</f>
        <v>0.27272727272727271</v>
      </c>
      <c r="U23" s="19">
        <f>U22/19</f>
        <v>5.2631578947368418E-2</v>
      </c>
      <c r="V23" s="19">
        <f>V22/152</f>
        <v>7.8947368421052627E-2</v>
      </c>
    </row>
  </sheetData>
  <mergeCells count="20">
    <mergeCell ref="A23:B23"/>
    <mergeCell ref="C4:J4"/>
    <mergeCell ref="C5:F5"/>
    <mergeCell ref="G5:J5"/>
    <mergeCell ref="K4:R4"/>
    <mergeCell ref="K5:N5"/>
    <mergeCell ref="O5:R5"/>
    <mergeCell ref="A7:V7"/>
    <mergeCell ref="A16:V16"/>
    <mergeCell ref="A15:B15"/>
    <mergeCell ref="A21:B21"/>
    <mergeCell ref="A22:B22"/>
    <mergeCell ref="A4:A6"/>
    <mergeCell ref="B4:B6"/>
    <mergeCell ref="S4:V4"/>
    <mergeCell ref="S5:S6"/>
    <mergeCell ref="T5:T6"/>
    <mergeCell ref="U5:U6"/>
    <mergeCell ref="V5:V6"/>
    <mergeCell ref="A2:V2"/>
  </mergeCells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2:P27"/>
  <sheetViews>
    <sheetView tabSelected="1" workbookViewId="0">
      <selection activeCell="N25" sqref="N25"/>
    </sheetView>
  </sheetViews>
  <sheetFormatPr defaultRowHeight="15" x14ac:dyDescent="0.25"/>
  <cols>
    <col min="1" max="1" width="5.7109375" customWidth="1"/>
    <col min="2" max="2" width="27" customWidth="1"/>
    <col min="3" max="3" width="8.5703125" customWidth="1"/>
    <col min="4" max="4" width="7.85546875" customWidth="1"/>
    <col min="5" max="5" width="8" customWidth="1"/>
    <col min="6" max="6" width="7.42578125" customWidth="1"/>
    <col min="7" max="7" width="8.42578125" customWidth="1"/>
    <col min="8" max="9" width="7.85546875" customWidth="1"/>
    <col min="10" max="10" width="7.5703125" customWidth="1"/>
    <col min="11" max="11" width="9.140625" customWidth="1"/>
    <col min="12" max="13" width="7.7109375" customWidth="1"/>
    <col min="14" max="14" width="8.42578125" customWidth="1"/>
  </cols>
  <sheetData>
    <row r="2" spans="1:16" ht="15.75" x14ac:dyDescent="0.25">
      <c r="A2" s="66" t="s">
        <v>46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6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6" ht="15.95" customHeight="1" x14ac:dyDescent="0.25">
      <c r="A4" s="49" t="s">
        <v>0</v>
      </c>
      <c r="B4" s="49" t="s">
        <v>1</v>
      </c>
      <c r="C4" s="62" t="s">
        <v>39</v>
      </c>
      <c r="D4" s="67"/>
      <c r="E4" s="67"/>
      <c r="F4" s="68"/>
      <c r="G4" s="62" t="s">
        <v>40</v>
      </c>
      <c r="H4" s="67"/>
      <c r="I4" s="67"/>
      <c r="J4" s="68"/>
      <c r="K4" s="62" t="s">
        <v>41</v>
      </c>
      <c r="L4" s="67"/>
      <c r="M4" s="67"/>
      <c r="N4" s="68"/>
    </row>
    <row r="5" spans="1:16" ht="15.95" customHeight="1" x14ac:dyDescent="0.25">
      <c r="A5" s="51"/>
      <c r="B5" s="51"/>
      <c r="C5" s="64"/>
      <c r="D5" s="69"/>
      <c r="E5" s="69"/>
      <c r="F5" s="70"/>
      <c r="G5" s="64"/>
      <c r="H5" s="69"/>
      <c r="I5" s="69"/>
      <c r="J5" s="70"/>
      <c r="K5" s="64"/>
      <c r="L5" s="69"/>
      <c r="M5" s="69"/>
      <c r="N5" s="70"/>
    </row>
    <row r="6" spans="1:16" ht="30.75" customHeight="1" x14ac:dyDescent="0.25">
      <c r="A6" s="51"/>
      <c r="B6" s="51"/>
      <c r="C6" s="4" t="s">
        <v>29</v>
      </c>
      <c r="D6" s="4" t="s">
        <v>2</v>
      </c>
      <c r="E6" s="4" t="s">
        <v>3</v>
      </c>
      <c r="F6" s="4" t="s">
        <v>4</v>
      </c>
      <c r="G6" s="4" t="s">
        <v>29</v>
      </c>
      <c r="H6" s="4" t="s">
        <v>2</v>
      </c>
      <c r="I6" s="4" t="s">
        <v>3</v>
      </c>
      <c r="J6" s="4" t="s">
        <v>4</v>
      </c>
      <c r="K6" s="4" t="s">
        <v>29</v>
      </c>
      <c r="L6" s="4" t="s">
        <v>2</v>
      </c>
      <c r="M6" s="4" t="s">
        <v>3</v>
      </c>
      <c r="N6" s="4" t="s">
        <v>4</v>
      </c>
    </row>
    <row r="7" spans="1:16" ht="15.95" customHeight="1" x14ac:dyDescent="0.25">
      <c r="A7" s="46" t="s">
        <v>5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8"/>
    </row>
    <row r="8" spans="1:16" ht="15.95" customHeight="1" x14ac:dyDescent="0.25">
      <c r="A8" s="2" t="s">
        <v>6</v>
      </c>
      <c r="B8" s="3" t="s">
        <v>7</v>
      </c>
      <c r="C8" s="25">
        <f>14928/58</f>
        <v>257.37931034482756</v>
      </c>
      <c r="D8" s="25">
        <f>3548/28</f>
        <v>126.71428571428571</v>
      </c>
      <c r="E8" s="25">
        <f>11380/30</f>
        <v>379.33333333333331</v>
      </c>
      <c r="F8" s="25" t="s">
        <v>42</v>
      </c>
      <c r="G8" s="25">
        <f>325399/58</f>
        <v>5610.3275862068967</v>
      </c>
      <c r="H8" s="25">
        <f>96667/28</f>
        <v>3452.3928571428573</v>
      </c>
      <c r="I8" s="25">
        <f>228732/30</f>
        <v>7624.4</v>
      </c>
      <c r="J8" s="25" t="s">
        <v>42</v>
      </c>
      <c r="K8" s="26">
        <f>540988/58</f>
        <v>9327.3793103448279</v>
      </c>
      <c r="L8" s="26">
        <f>169375/28</f>
        <v>6049.1071428571431</v>
      </c>
      <c r="M8" s="26">
        <f>371613/30</f>
        <v>12387.1</v>
      </c>
      <c r="N8" s="26" t="s">
        <v>42</v>
      </c>
    </row>
    <row r="9" spans="1:16" ht="15.95" customHeight="1" x14ac:dyDescent="0.25">
      <c r="A9" s="2" t="s">
        <v>8</v>
      </c>
      <c r="B9" s="3" t="s">
        <v>9</v>
      </c>
      <c r="C9" s="25">
        <f>10394/44</f>
        <v>236.22727272727272</v>
      </c>
      <c r="D9" s="25">
        <f>2880/21</f>
        <v>137.14285714285714</v>
      </c>
      <c r="E9" s="25">
        <f>657/2</f>
        <v>328.5</v>
      </c>
      <c r="F9" s="25">
        <f>6857/24</f>
        <v>285.70833333333331</v>
      </c>
      <c r="G9" s="25">
        <f>160905/47</f>
        <v>3423.5106382978724</v>
      </c>
      <c r="H9" s="25">
        <f>34864/21</f>
        <v>1660.1904761904761</v>
      </c>
      <c r="I9" s="25">
        <f>9392/2</f>
        <v>4696</v>
      </c>
      <c r="J9" s="25">
        <f>116649/24</f>
        <v>4860.375</v>
      </c>
      <c r="K9" s="26">
        <f>211377/47</f>
        <v>4497.3829787234044</v>
      </c>
      <c r="L9" s="26">
        <f>31417/21</f>
        <v>1496.047619047619</v>
      </c>
      <c r="M9" s="26">
        <f>15967/2</f>
        <v>7983.5</v>
      </c>
      <c r="N9" s="26">
        <f>163993/24</f>
        <v>6833.041666666667</v>
      </c>
    </row>
    <row r="10" spans="1:16" ht="15.95" customHeight="1" x14ac:dyDescent="0.25">
      <c r="A10" s="2" t="s">
        <v>10</v>
      </c>
      <c r="B10" s="3" t="s">
        <v>11</v>
      </c>
      <c r="C10" s="25">
        <f>5647/42</f>
        <v>134.45238095238096</v>
      </c>
      <c r="D10" s="25">
        <f>3571/20</f>
        <v>178.55</v>
      </c>
      <c r="E10" s="25">
        <f>306/2</f>
        <v>153</v>
      </c>
      <c r="F10" s="25">
        <f>1770/20</f>
        <v>88.5</v>
      </c>
      <c r="G10" s="25">
        <f>185719/42</f>
        <v>4421.8809523809523</v>
      </c>
      <c r="H10" s="25">
        <f>119647/20</f>
        <v>5982.35</v>
      </c>
      <c r="I10" s="25">
        <f>6983/2</f>
        <v>3491.5</v>
      </c>
      <c r="J10" s="25">
        <f>59089/20</f>
        <v>2954.45</v>
      </c>
      <c r="K10" s="26">
        <f>143169/42</f>
        <v>3408.7857142857142</v>
      </c>
      <c r="L10" s="26">
        <f>48357/20</f>
        <v>2417.85</v>
      </c>
      <c r="M10" s="26">
        <f>16568/2</f>
        <v>8284</v>
      </c>
      <c r="N10" s="26">
        <f>78244/20</f>
        <v>3912.2</v>
      </c>
    </row>
    <row r="11" spans="1:16" ht="15.95" customHeight="1" x14ac:dyDescent="0.25">
      <c r="A11" s="2" t="s">
        <v>12</v>
      </c>
      <c r="B11" s="3" t="s">
        <v>13</v>
      </c>
      <c r="C11" s="25">
        <f>1407/9</f>
        <v>156.33333333333334</v>
      </c>
      <c r="D11" s="25">
        <f>738/6</f>
        <v>123</v>
      </c>
      <c r="E11" s="25">
        <f>669/3</f>
        <v>223</v>
      </c>
      <c r="F11" s="25" t="s">
        <v>42</v>
      </c>
      <c r="G11" s="25">
        <f>16085/9</f>
        <v>1787.2222222222222</v>
      </c>
      <c r="H11" s="25">
        <f>6660/6</f>
        <v>1110</v>
      </c>
      <c r="I11" s="25">
        <f>9425/3</f>
        <v>3141.6666666666665</v>
      </c>
      <c r="J11" s="25" t="s">
        <v>42</v>
      </c>
      <c r="K11" s="26">
        <f>19748/9</f>
        <v>2194.2222222222222</v>
      </c>
      <c r="L11" s="26">
        <f>7386/6</f>
        <v>1231</v>
      </c>
      <c r="M11" s="26">
        <f>12362/3</f>
        <v>4120.666666666667</v>
      </c>
      <c r="N11" s="26" t="s">
        <v>42</v>
      </c>
    </row>
    <row r="12" spans="1:16" ht="15.95" customHeight="1" x14ac:dyDescent="0.25">
      <c r="A12" s="2" t="s">
        <v>14</v>
      </c>
      <c r="B12" s="3" t="s">
        <v>15</v>
      </c>
      <c r="C12" s="25">
        <f>4968/22</f>
        <v>225.81818181818181</v>
      </c>
      <c r="D12" s="25">
        <f>4968/22</f>
        <v>225.81818181818181</v>
      </c>
      <c r="E12" s="25" t="s">
        <v>42</v>
      </c>
      <c r="F12" s="25" t="s">
        <v>42</v>
      </c>
      <c r="G12" s="25">
        <f>70282/22</f>
        <v>3194.6363636363635</v>
      </c>
      <c r="H12" s="25">
        <f>70282/22</f>
        <v>3194.6363636363635</v>
      </c>
      <c r="I12" s="25" t="s">
        <v>42</v>
      </c>
      <c r="J12" s="25" t="s">
        <v>42</v>
      </c>
      <c r="K12" s="26">
        <f>124450/22</f>
        <v>5656.818181818182</v>
      </c>
      <c r="L12" s="26">
        <f>124450/22</f>
        <v>5656.818181818182</v>
      </c>
      <c r="M12" s="26" t="s">
        <v>42</v>
      </c>
      <c r="N12" s="26" t="s">
        <v>42</v>
      </c>
    </row>
    <row r="13" spans="1:16" ht="15.95" customHeight="1" x14ac:dyDescent="0.25">
      <c r="A13" s="2" t="s">
        <v>16</v>
      </c>
      <c r="B13" s="3" t="s">
        <v>17</v>
      </c>
      <c r="C13" s="25">
        <f>2197/32</f>
        <v>68.65625</v>
      </c>
      <c r="D13" s="25">
        <f>876/16</f>
        <v>54.75</v>
      </c>
      <c r="E13" s="25">
        <f>80/1</f>
        <v>80</v>
      </c>
      <c r="F13" s="25">
        <f>1241/15</f>
        <v>82.733333333333334</v>
      </c>
      <c r="G13" s="25">
        <f>54478/32</f>
        <v>1702.4375</v>
      </c>
      <c r="H13" s="25">
        <f>20687/16</f>
        <v>1292.9375</v>
      </c>
      <c r="I13" s="25">
        <f>3316/1</f>
        <v>3316</v>
      </c>
      <c r="J13" s="25">
        <f>30475/15</f>
        <v>2031.6666666666667</v>
      </c>
      <c r="K13" s="26">
        <f>105581/32</f>
        <v>3299.40625</v>
      </c>
      <c r="L13" s="26">
        <f>30647/16</f>
        <v>1915.4375</v>
      </c>
      <c r="M13" s="26">
        <f>6269/1</f>
        <v>6269</v>
      </c>
      <c r="N13" s="26">
        <f>68665/15</f>
        <v>4577.666666666667</v>
      </c>
      <c r="P13" t="s">
        <v>47</v>
      </c>
    </row>
    <row r="14" spans="1:16" ht="15.95" customHeight="1" x14ac:dyDescent="0.25">
      <c r="A14" s="2" t="s">
        <v>18</v>
      </c>
      <c r="B14" s="3" t="s">
        <v>19</v>
      </c>
      <c r="C14" s="25">
        <f>5902/55</f>
        <v>107.30909090909091</v>
      </c>
      <c r="D14" s="25">
        <f>1642/24</f>
        <v>68.416666666666671</v>
      </c>
      <c r="E14" s="25" t="s">
        <v>42</v>
      </c>
      <c r="F14" s="25">
        <f>4260/31</f>
        <v>137.41935483870967</v>
      </c>
      <c r="G14" s="25">
        <f>147341/55</f>
        <v>2678.9272727272728</v>
      </c>
      <c r="H14" s="25">
        <f>45671/24</f>
        <v>1902.9583333333333</v>
      </c>
      <c r="I14" s="25" t="s">
        <v>42</v>
      </c>
      <c r="J14" s="25">
        <f>101670/31</f>
        <v>3279.6774193548385</v>
      </c>
      <c r="K14" s="26">
        <f>154130/55</f>
        <v>2802.3636363636365</v>
      </c>
      <c r="L14" s="26">
        <f>39870/24</f>
        <v>1661.25</v>
      </c>
      <c r="M14" s="26" t="s">
        <v>42</v>
      </c>
      <c r="N14" s="26">
        <f>114260/31</f>
        <v>3685.8064516129034</v>
      </c>
    </row>
    <row r="15" spans="1:16" ht="15.95" customHeight="1" x14ac:dyDescent="0.25">
      <c r="A15" s="61" t="s">
        <v>20</v>
      </c>
      <c r="B15" s="61"/>
      <c r="C15" s="13">
        <f t="shared" ref="C15:J15" si="0">SUM(C8:C14)</f>
        <v>1186.1758200850873</v>
      </c>
      <c r="D15" s="13">
        <f t="shared" si="0"/>
        <v>914.39199134199123</v>
      </c>
      <c r="E15" s="13">
        <f t="shared" si="0"/>
        <v>1163.8333333333333</v>
      </c>
      <c r="F15" s="13">
        <f t="shared" si="0"/>
        <v>594.36102150537636</v>
      </c>
      <c r="G15" s="13">
        <f t="shared" si="0"/>
        <v>22818.942535471579</v>
      </c>
      <c r="H15" s="13">
        <f t="shared" si="0"/>
        <v>18595.46553030303</v>
      </c>
      <c r="I15" s="13">
        <f t="shared" si="0"/>
        <v>22269.566666666666</v>
      </c>
      <c r="J15" s="13">
        <f t="shared" si="0"/>
        <v>13126.169086021506</v>
      </c>
      <c r="K15" s="14">
        <f>SUM(K8:K14)</f>
        <v>31186.358293757989</v>
      </c>
      <c r="L15" s="14">
        <f>SUM(L8:L14)</f>
        <v>20427.510443722946</v>
      </c>
      <c r="M15" s="14">
        <f>SUM(M8:M14)</f>
        <v>39044.266666666663</v>
      </c>
      <c r="N15" s="14">
        <f>SUM(N8:N14)</f>
        <v>19008.714784946234</v>
      </c>
    </row>
    <row r="16" spans="1:16" ht="15.95" customHeight="1" x14ac:dyDescent="0.25">
      <c r="A16" s="34" t="s">
        <v>43</v>
      </c>
      <c r="B16" s="35"/>
      <c r="C16" s="13">
        <f>C15/105</f>
        <v>11.296912572238925</v>
      </c>
      <c r="D16" s="13">
        <f>D15/7</f>
        <v>130.62742733457017</v>
      </c>
      <c r="E16" s="13">
        <f>E15/16</f>
        <v>72.739583333333329</v>
      </c>
      <c r="F16" s="13">
        <f>F15/74</f>
        <v>8.0319056960185993</v>
      </c>
      <c r="G16" s="13">
        <f>G15/105</f>
        <v>217.32326224258645</v>
      </c>
      <c r="H16" s="13">
        <f>H15/7</f>
        <v>2656.4950757575757</v>
      </c>
      <c r="I16" s="13">
        <f>I15/16</f>
        <v>1391.8479166666666</v>
      </c>
      <c r="J16" s="13">
        <f>J15/74</f>
        <v>177.38066332461494</v>
      </c>
      <c r="K16" s="14">
        <f>K15/105</f>
        <v>297.01293613102848</v>
      </c>
      <c r="L16" s="14">
        <f>L15/7</f>
        <v>2918.2157776747067</v>
      </c>
      <c r="M16" s="14">
        <f>M15/16</f>
        <v>2440.2666666666664</v>
      </c>
      <c r="N16" s="14">
        <f>N15/74</f>
        <v>256.87452412089505</v>
      </c>
    </row>
    <row r="17" spans="1:14" ht="15.95" customHeight="1" x14ac:dyDescent="0.25">
      <c r="A17" s="46" t="s">
        <v>21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8"/>
    </row>
    <row r="18" spans="1:14" ht="15.95" customHeight="1" x14ac:dyDescent="0.25">
      <c r="A18" s="2" t="s">
        <v>6</v>
      </c>
      <c r="B18" s="3" t="s">
        <v>22</v>
      </c>
      <c r="C18" s="25">
        <f>3863/41</f>
        <v>94.219512195121951</v>
      </c>
      <c r="D18" s="25">
        <f>1591/16</f>
        <v>99.4375</v>
      </c>
      <c r="E18" s="25">
        <f>121/1</f>
        <v>121</v>
      </c>
      <c r="F18" s="25">
        <f>2151/24</f>
        <v>89.625</v>
      </c>
      <c r="G18" s="25">
        <f>86433/41</f>
        <v>2108.1219512195121</v>
      </c>
      <c r="H18" s="25">
        <f>25585/16</f>
        <v>1599.0625</v>
      </c>
      <c r="I18" s="25">
        <f>3340/1</f>
        <v>3340</v>
      </c>
      <c r="J18" s="25">
        <f>57508/24</f>
        <v>2396.1666666666665</v>
      </c>
      <c r="K18" s="26">
        <f>114797/41</f>
        <v>2799.9268292682927</v>
      </c>
      <c r="L18" s="26">
        <f>29889/16</f>
        <v>1868.0625</v>
      </c>
      <c r="M18" s="26">
        <f>4216/1</f>
        <v>4216</v>
      </c>
      <c r="N18" s="26">
        <f>80692/24</f>
        <v>3362.1666666666665</v>
      </c>
    </row>
    <row r="19" spans="1:14" ht="15.95" customHeight="1" x14ac:dyDescent="0.25">
      <c r="A19" s="2" t="s">
        <v>8</v>
      </c>
      <c r="B19" s="3" t="s">
        <v>23</v>
      </c>
      <c r="C19" s="25">
        <f>1347/15</f>
        <v>89.8</v>
      </c>
      <c r="D19" s="25">
        <f>286/7</f>
        <v>40.857142857142854</v>
      </c>
      <c r="E19" s="25" t="s">
        <v>42</v>
      </c>
      <c r="F19" s="25">
        <f>1061/8</f>
        <v>132.625</v>
      </c>
      <c r="G19" s="25">
        <f>27854/15</f>
        <v>1856.9333333333334</v>
      </c>
      <c r="H19" s="25">
        <f>16440/7</f>
        <v>2348.5714285714284</v>
      </c>
      <c r="I19" s="25" t="s">
        <v>42</v>
      </c>
      <c r="J19" s="25">
        <f>11414/8</f>
        <v>1426.75</v>
      </c>
      <c r="K19" s="26">
        <f>32238/15</f>
        <v>2149.1999999999998</v>
      </c>
      <c r="L19" s="26">
        <f>6458/7</f>
        <v>922.57142857142856</v>
      </c>
      <c r="M19" s="26" t="s">
        <v>42</v>
      </c>
      <c r="N19" s="26">
        <f>25780/8</f>
        <v>3222.5</v>
      </c>
    </row>
    <row r="20" spans="1:14" ht="15.95" customHeight="1" x14ac:dyDescent="0.25">
      <c r="A20" s="2" t="s">
        <v>10</v>
      </c>
      <c r="B20" s="3" t="s">
        <v>24</v>
      </c>
      <c r="C20" s="25">
        <f>4251/36</f>
        <v>118.08333333333333</v>
      </c>
      <c r="D20" s="25">
        <f>1368/13</f>
        <v>105.23076923076923</v>
      </c>
      <c r="E20" s="25" t="s">
        <v>42</v>
      </c>
      <c r="F20" s="25">
        <f>2883/23</f>
        <v>125.34782608695652</v>
      </c>
      <c r="G20" s="25">
        <f>70176/36</f>
        <v>1949.3333333333333</v>
      </c>
      <c r="H20" s="25">
        <f>32943/13</f>
        <v>2534.0769230769229</v>
      </c>
      <c r="I20" s="25" t="s">
        <v>42</v>
      </c>
      <c r="J20" s="25">
        <f>37233/23</f>
        <v>1618.8260869565217</v>
      </c>
      <c r="K20" s="26">
        <f>100628/36</f>
        <v>2795.2222222222222</v>
      </c>
      <c r="L20" s="26">
        <f>35735/13</f>
        <v>2748.8461538461538</v>
      </c>
      <c r="M20" s="26" t="s">
        <v>42</v>
      </c>
      <c r="N20" s="26">
        <f>64893/23</f>
        <v>2821.4347826086955</v>
      </c>
    </row>
    <row r="21" spans="1:14" ht="15.95" customHeight="1" x14ac:dyDescent="0.25">
      <c r="A21" s="2" t="s">
        <v>12</v>
      </c>
      <c r="B21" s="3" t="s">
        <v>25</v>
      </c>
      <c r="C21" s="25">
        <f>6432/50</f>
        <v>128.63999999999999</v>
      </c>
      <c r="D21" s="25">
        <f>6432/23</f>
        <v>279.6521739130435</v>
      </c>
      <c r="E21" s="25">
        <f>0/4</f>
        <v>0</v>
      </c>
      <c r="F21" s="25">
        <f>0/24</f>
        <v>0</v>
      </c>
      <c r="G21" s="25">
        <f>121468/50</f>
        <v>2429.36</v>
      </c>
      <c r="H21" s="25">
        <f>38612/23</f>
        <v>1678.7826086956522</v>
      </c>
      <c r="I21" s="25">
        <f>10801/4</f>
        <v>2700.25</v>
      </c>
      <c r="J21" s="25">
        <f>72055/23</f>
        <v>3132.8260869565215</v>
      </c>
      <c r="K21" s="26">
        <f>136995/50</f>
        <v>2739.9</v>
      </c>
      <c r="L21" s="26">
        <f>57840/23</f>
        <v>2514.782608695652</v>
      </c>
      <c r="M21" s="26">
        <f>8181/4</f>
        <v>2045.25</v>
      </c>
      <c r="N21" s="26">
        <f>70974/23</f>
        <v>3085.8260869565215</v>
      </c>
    </row>
    <row r="22" spans="1:14" ht="15.95" customHeight="1" x14ac:dyDescent="0.25">
      <c r="A22" s="61" t="s">
        <v>20</v>
      </c>
      <c r="B22" s="61"/>
      <c r="C22" s="13">
        <f t="shared" ref="C22:J22" si="1">SUM(C18:C21)</f>
        <v>430.74284552845523</v>
      </c>
      <c r="D22" s="13">
        <f t="shared" si="1"/>
        <v>525.17758600095556</v>
      </c>
      <c r="E22" s="13">
        <f t="shared" si="1"/>
        <v>121</v>
      </c>
      <c r="F22" s="13">
        <f t="shared" si="1"/>
        <v>347.5978260869565</v>
      </c>
      <c r="G22" s="13">
        <f t="shared" si="1"/>
        <v>8343.7486178861782</v>
      </c>
      <c r="H22" s="13">
        <f t="shared" si="1"/>
        <v>8160.4934603440033</v>
      </c>
      <c r="I22" s="13">
        <f t="shared" si="1"/>
        <v>6040.25</v>
      </c>
      <c r="J22" s="13">
        <f t="shared" si="1"/>
        <v>8574.56884057971</v>
      </c>
      <c r="K22" s="14">
        <f>SUM(K18:K21)</f>
        <v>10484.249051490515</v>
      </c>
      <c r="L22" s="14">
        <f>SUM(L18:L21)</f>
        <v>8054.2626911132338</v>
      </c>
      <c r="M22" s="14">
        <f>SUM(M18:M21)</f>
        <v>6261.25</v>
      </c>
      <c r="N22" s="14">
        <f>SUM(N18:N21)</f>
        <v>12491.927536231884</v>
      </c>
    </row>
    <row r="23" spans="1:14" ht="15.95" customHeight="1" x14ac:dyDescent="0.25">
      <c r="A23" s="34" t="s">
        <v>43</v>
      </c>
      <c r="B23" s="35"/>
      <c r="C23" s="13">
        <f>C22/87</f>
        <v>4.9510671899822443</v>
      </c>
      <c r="D23" s="13">
        <f>D22/4</f>
        <v>131.29439650023889</v>
      </c>
      <c r="E23" s="13">
        <f>E22/3</f>
        <v>40.333333333333336</v>
      </c>
      <c r="F23" s="13">
        <f>F22/78</f>
        <v>4.4563823857302118</v>
      </c>
      <c r="G23" s="13">
        <f>G22/87</f>
        <v>95.905156527427337</v>
      </c>
      <c r="H23" s="13">
        <f>H22/4</f>
        <v>2040.1233650860008</v>
      </c>
      <c r="I23" s="13">
        <f>I22/3</f>
        <v>2013.4166666666667</v>
      </c>
      <c r="J23" s="13">
        <f>J22/78</f>
        <v>109.93036975102193</v>
      </c>
      <c r="K23" s="14">
        <f>K22/87</f>
        <v>120.50860978724729</v>
      </c>
      <c r="L23" s="14">
        <f>L22/4</f>
        <v>2013.5656727783085</v>
      </c>
      <c r="M23" s="14">
        <f>M22/3</f>
        <v>2087.0833333333335</v>
      </c>
      <c r="N23" s="14">
        <f>N22/78</f>
        <v>160.15291713117799</v>
      </c>
    </row>
    <row r="24" spans="1:14" ht="28.5" customHeight="1" x14ac:dyDescent="0.25">
      <c r="A24" s="56" t="s">
        <v>26</v>
      </c>
      <c r="B24" s="56"/>
      <c r="C24" s="17">
        <f t="shared" ref="C24:J24" si="2">SUM(C15,C22)</f>
        <v>1616.9186656135425</v>
      </c>
      <c r="D24" s="17">
        <f t="shared" si="2"/>
        <v>1439.5695773429468</v>
      </c>
      <c r="E24" s="17">
        <f t="shared" si="2"/>
        <v>1284.8333333333333</v>
      </c>
      <c r="F24" s="17">
        <f t="shared" si="2"/>
        <v>941.95884759233286</v>
      </c>
      <c r="G24" s="17">
        <f t="shared" si="2"/>
        <v>31162.691153357759</v>
      </c>
      <c r="H24" s="17">
        <f t="shared" si="2"/>
        <v>26755.958990647036</v>
      </c>
      <c r="I24" s="17">
        <f t="shared" si="2"/>
        <v>28309.816666666666</v>
      </c>
      <c r="J24" s="17">
        <f t="shared" si="2"/>
        <v>21700.737926601214</v>
      </c>
      <c r="K24" s="21">
        <f>SUM(K15,K22)</f>
        <v>41670.6073452485</v>
      </c>
      <c r="L24" s="21">
        <f>SUM(L15,L22)</f>
        <v>28481.773134836178</v>
      </c>
      <c r="M24" s="21">
        <f>SUM(M15,M22)</f>
        <v>45305.516666666663</v>
      </c>
      <c r="N24" s="21">
        <f>SUM(N15,N22)</f>
        <v>31500.642321178118</v>
      </c>
    </row>
    <row r="25" spans="1:14" ht="30" customHeight="1" x14ac:dyDescent="0.25">
      <c r="A25" s="56" t="s">
        <v>27</v>
      </c>
      <c r="B25" s="56"/>
      <c r="C25" s="17">
        <f>C24/192</f>
        <v>8.421451383403868</v>
      </c>
      <c r="D25" s="17">
        <f>D24/11</f>
        <v>130.86996157663154</v>
      </c>
      <c r="E25" s="17">
        <f>E24/19</f>
        <v>67.622807017543849</v>
      </c>
      <c r="F25" s="17">
        <f>F24/152</f>
        <v>6.1970976815285059</v>
      </c>
      <c r="G25" s="17">
        <f>G24/192</f>
        <v>162.30568309040498</v>
      </c>
      <c r="H25" s="17">
        <f>H24/11</f>
        <v>2432.3599082406395</v>
      </c>
      <c r="I25" s="17">
        <f>I24/19</f>
        <v>1489.9903508771929</v>
      </c>
      <c r="J25" s="17">
        <f>J24/152</f>
        <v>142.76801267500798</v>
      </c>
      <c r="K25" s="21">
        <f>K24/192</f>
        <v>217.0344132565026</v>
      </c>
      <c r="L25" s="21">
        <f>L24/11</f>
        <v>2589.2521031669253</v>
      </c>
      <c r="M25" s="21">
        <f>M24/19</f>
        <v>2384.5008771929824</v>
      </c>
      <c r="N25" s="21">
        <f>N24/152</f>
        <v>207.24106790248763</v>
      </c>
    </row>
    <row r="27" spans="1:14" ht="15" customHeight="1" x14ac:dyDescent="0.25">
      <c r="C27" s="10"/>
    </row>
  </sheetData>
  <mergeCells count="14">
    <mergeCell ref="A2:N2"/>
    <mergeCell ref="A25:B25"/>
    <mergeCell ref="C4:F5"/>
    <mergeCell ref="G4:J5"/>
    <mergeCell ref="K4:N5"/>
    <mergeCell ref="A7:N7"/>
    <mergeCell ref="A15:B15"/>
    <mergeCell ref="A17:N17"/>
    <mergeCell ref="A22:B22"/>
    <mergeCell ref="A24:B24"/>
    <mergeCell ref="A4:A6"/>
    <mergeCell ref="B4:B6"/>
    <mergeCell ref="A23:B23"/>
    <mergeCell ref="A16:B16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4.1. Personalas</vt:lpstr>
      <vt:lpstr>4.2. Išsilavinimas</vt:lpstr>
      <vt:lpstr>4.3. Veiklos efektyvumas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Jonaitienė</cp:lastModifiedBy>
  <dcterms:created xsi:type="dcterms:W3CDTF">2020-05-06T11:13:30Z</dcterms:created>
  <dcterms:modified xsi:type="dcterms:W3CDTF">2023-10-06T07:27:03Z</dcterms:modified>
</cp:coreProperties>
</file>