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 firstSheet="9" activeTab="14"/>
  </bookViews>
  <sheets>
    <sheet name="3.1. Vartotojų telkimas" sheetId="1" r:id="rId1"/>
    <sheet name="3.2. Vartotojų skaičius" sheetId="2" r:id="rId2"/>
    <sheet name="3.2.1. Vaikų skaičius" sheetId="3" r:id="rId3"/>
    <sheet name="3.3. Lankytojų skaičius" sheetId="4" r:id="rId4"/>
    <sheet name="3.3.1. Lankytojų vaikų skaičius" sheetId="5" r:id="rId5"/>
    <sheet name="3.4. Dokumentų išduotis" sheetId="6" r:id="rId6"/>
    <sheet name="3.5. Grož. ir šakin. išduotis" sheetId="7" r:id="rId7"/>
    <sheet name="3.6. Periodin. išduotis" sheetId="8" r:id="rId8"/>
    <sheet name="3.7. Išduotis vietoje ir į nam." sheetId="9" r:id="rId9"/>
    <sheet name="3.8. Skaitomumas ir lankomumas" sheetId="10" r:id="rId10"/>
    <sheet name="3.9. Vaikų skaitomumas" sheetId="11" r:id="rId11"/>
    <sheet name="3.10. Darbo vietos" sheetId="15" r:id="rId12"/>
    <sheet name="3.11. Užklausos" sheetId="13" r:id="rId13"/>
    <sheet name="3.12. Renginiai" sheetId="14" r:id="rId14"/>
    <sheet name="3.13. El. paslaugos" sheetId="12" r:id="rId15"/>
  </sheets>
  <calcPr calcId="162913"/>
</workbook>
</file>

<file path=xl/calcChain.xml><?xml version="1.0" encoding="utf-8"?>
<calcChain xmlns="http://schemas.openxmlformats.org/spreadsheetml/2006/main">
  <c r="D26" i="8" l="1"/>
  <c r="F22" i="8"/>
  <c r="D22" i="8"/>
  <c r="J22" i="8"/>
  <c r="R20" i="7"/>
  <c r="N20" i="7"/>
  <c r="L20" i="7"/>
  <c r="J20" i="7"/>
  <c r="F20" i="7"/>
  <c r="D20" i="7"/>
  <c r="P24" i="12" l="1"/>
  <c r="O24" i="12"/>
  <c r="L24" i="12"/>
  <c r="K24" i="12"/>
  <c r="H24" i="12"/>
  <c r="G24" i="12"/>
  <c r="F24" i="12"/>
  <c r="N23" i="14"/>
  <c r="Q26" i="15"/>
  <c r="O26" i="15"/>
  <c r="J24" i="6"/>
  <c r="V25" i="2"/>
  <c r="V23" i="2"/>
  <c r="E23" i="1"/>
  <c r="P25" i="7" l="1"/>
  <c r="O25" i="7"/>
  <c r="P24" i="7"/>
  <c r="O24" i="7"/>
  <c r="N24" i="7"/>
  <c r="N25" i="7" s="1"/>
  <c r="L24" i="7"/>
  <c r="L25" i="7" s="1"/>
  <c r="H25" i="7"/>
  <c r="H24" i="7"/>
  <c r="R22" i="7"/>
  <c r="R23" i="7" s="1"/>
  <c r="Q23" i="7"/>
  <c r="Q22" i="7"/>
  <c r="Q24" i="7" s="1"/>
  <c r="Q25" i="7" s="1"/>
  <c r="P23" i="7"/>
  <c r="P22" i="7"/>
  <c r="O23" i="7"/>
  <c r="O22" i="7"/>
  <c r="N23" i="7"/>
  <c r="N22" i="7"/>
  <c r="M22" i="7"/>
  <c r="M24" i="7" s="1"/>
  <c r="M25" i="7" s="1"/>
  <c r="L23" i="7"/>
  <c r="L22" i="7"/>
  <c r="K22" i="7"/>
  <c r="K23" i="7" s="1"/>
  <c r="J22" i="7"/>
  <c r="J24" i="7" s="1"/>
  <c r="J25" i="7" s="1"/>
  <c r="G25" i="7"/>
  <c r="G23" i="7"/>
  <c r="I22" i="7"/>
  <c r="I23" i="7" s="1"/>
  <c r="H23" i="7"/>
  <c r="H22" i="7"/>
  <c r="R16" i="7"/>
  <c r="R15" i="7"/>
  <c r="Q16" i="7"/>
  <c r="Q15" i="7"/>
  <c r="P16" i="7"/>
  <c r="P15" i="7"/>
  <c r="O16" i="7"/>
  <c r="O15" i="7"/>
  <c r="G16" i="7"/>
  <c r="N16" i="7"/>
  <c r="N15" i="7"/>
  <c r="M16" i="7"/>
  <c r="M15" i="7"/>
  <c r="L16" i="7"/>
  <c r="L15" i="7"/>
  <c r="K16" i="7"/>
  <c r="K15" i="7"/>
  <c r="J16" i="7"/>
  <c r="J15" i="7"/>
  <c r="I16" i="7"/>
  <c r="I15" i="7"/>
  <c r="H16" i="7"/>
  <c r="H15" i="7"/>
  <c r="R24" i="7" l="1"/>
  <c r="R25" i="7" s="1"/>
  <c r="J23" i="7"/>
  <c r="I24" i="7"/>
  <c r="I25" i="7" s="1"/>
  <c r="K24" i="7"/>
  <c r="K25" i="7" s="1"/>
  <c r="M23" i="7"/>
  <c r="J15" i="8"/>
  <c r="H15" i="8"/>
  <c r="F15" i="8"/>
  <c r="D15" i="8"/>
  <c r="F14" i="8"/>
  <c r="D14" i="8"/>
  <c r="N12" i="7"/>
  <c r="L12" i="7"/>
  <c r="R13" i="7"/>
  <c r="P13" i="7"/>
  <c r="N13" i="7"/>
  <c r="L13" i="7"/>
  <c r="J13" i="7"/>
  <c r="H13" i="7"/>
  <c r="F13" i="7"/>
  <c r="F12" i="7"/>
  <c r="D13" i="7"/>
  <c r="D12" i="7"/>
  <c r="G22" i="7" l="1"/>
  <c r="G15" i="7"/>
  <c r="G24" i="7" s="1"/>
  <c r="F24" i="7"/>
  <c r="F25" i="7" s="1"/>
  <c r="F22" i="7"/>
  <c r="F23" i="7" s="1"/>
  <c r="F15" i="7"/>
  <c r="F16" i="7" s="1"/>
  <c r="E15" i="7"/>
  <c r="E16" i="7" s="1"/>
  <c r="E22" i="7"/>
  <c r="E23" i="7" s="1"/>
  <c r="D22" i="7"/>
  <c r="D23" i="7" s="1"/>
  <c r="D15" i="7"/>
  <c r="D16" i="7" s="1"/>
  <c r="C22" i="7"/>
  <c r="C23" i="7" s="1"/>
  <c r="C15" i="7"/>
  <c r="C16" i="7" s="1"/>
  <c r="G27" i="8"/>
  <c r="H27" i="8"/>
  <c r="H26" i="8"/>
  <c r="G18" i="8"/>
  <c r="J24" i="8"/>
  <c r="J26" i="8" s="1"/>
  <c r="J27" i="8" s="1"/>
  <c r="I24" i="8"/>
  <c r="I25" i="8" s="1"/>
  <c r="H25" i="8"/>
  <c r="H24" i="8"/>
  <c r="G25" i="8"/>
  <c r="G24" i="8"/>
  <c r="F24" i="8"/>
  <c r="F25" i="8" s="1"/>
  <c r="E24" i="8"/>
  <c r="E25" i="8" s="1"/>
  <c r="D25" i="8"/>
  <c r="D24" i="8"/>
  <c r="C24" i="8"/>
  <c r="C25" i="8" s="1"/>
  <c r="F18" i="8"/>
  <c r="E18" i="8"/>
  <c r="J17" i="8"/>
  <c r="J18" i="8" s="1"/>
  <c r="I17" i="8"/>
  <c r="I18" i="8" s="1"/>
  <c r="H17" i="8"/>
  <c r="H18" i="8" s="1"/>
  <c r="G17" i="8"/>
  <c r="G26" i="8" s="1"/>
  <c r="F17" i="8"/>
  <c r="E17" i="8"/>
  <c r="E26" i="8" s="1"/>
  <c r="E27" i="8" s="1"/>
  <c r="D17" i="8"/>
  <c r="D18" i="8" s="1"/>
  <c r="C17" i="8"/>
  <c r="C18" i="8" s="1"/>
  <c r="F26" i="8" l="1"/>
  <c r="F27" i="8" s="1"/>
  <c r="J25" i="8"/>
  <c r="I26" i="8"/>
  <c r="I27" i="8" s="1"/>
  <c r="D24" i="7"/>
  <c r="D25" i="7" s="1"/>
  <c r="D27" i="8"/>
  <c r="E24" i="7"/>
  <c r="E25" i="7" s="1"/>
  <c r="C24" i="7"/>
  <c r="C25" i="7" s="1"/>
  <c r="C26" i="8"/>
  <c r="C27" i="8" s="1"/>
  <c r="D21" i="8"/>
  <c r="F21" i="8"/>
  <c r="J21" i="8"/>
  <c r="R19" i="7"/>
  <c r="N19" i="7"/>
  <c r="L19" i="7"/>
  <c r="J19" i="7"/>
  <c r="F19" i="7"/>
  <c r="D19" i="7"/>
  <c r="H10" i="8" l="1"/>
  <c r="F10" i="8"/>
  <c r="D10" i="8"/>
  <c r="P8" i="7"/>
  <c r="N8" i="7"/>
  <c r="L8" i="7"/>
  <c r="H8" i="7"/>
  <c r="I7" i="6"/>
  <c r="F8" i="7"/>
  <c r="D8" i="7"/>
  <c r="E7" i="12" l="1"/>
  <c r="C7" i="12"/>
  <c r="I8" i="9"/>
  <c r="N23" i="5"/>
  <c r="M23" i="5"/>
  <c r="L23" i="5"/>
  <c r="K23" i="5"/>
  <c r="J23" i="5"/>
  <c r="I23" i="5"/>
  <c r="H23" i="5"/>
  <c r="G23" i="5"/>
  <c r="F23" i="5"/>
  <c r="E23" i="5"/>
  <c r="D23" i="5"/>
  <c r="C23" i="5"/>
  <c r="N23" i="4"/>
  <c r="M23" i="4"/>
  <c r="L23" i="4"/>
  <c r="Q16" i="4"/>
  <c r="P16" i="4"/>
  <c r="O16" i="4"/>
  <c r="N16" i="4"/>
  <c r="M16" i="4"/>
  <c r="L16" i="4"/>
  <c r="N16" i="5"/>
  <c r="M16" i="5"/>
  <c r="L16" i="5"/>
  <c r="K16" i="5"/>
  <c r="J16" i="5"/>
  <c r="I16" i="5"/>
  <c r="H16" i="5"/>
  <c r="G16" i="5"/>
  <c r="F16" i="5"/>
  <c r="E16" i="5"/>
  <c r="D16" i="5"/>
  <c r="C16" i="5"/>
  <c r="Q23" i="4"/>
  <c r="P23" i="4"/>
  <c r="O23" i="4"/>
  <c r="K23" i="4"/>
  <c r="J23" i="4"/>
  <c r="I23" i="4"/>
  <c r="H23" i="4"/>
  <c r="G23" i="4"/>
  <c r="F23" i="4"/>
  <c r="E23" i="4"/>
  <c r="D23" i="4"/>
  <c r="C23" i="4"/>
  <c r="K16" i="4"/>
  <c r="J16" i="4"/>
  <c r="I16" i="4"/>
  <c r="H16" i="4"/>
  <c r="G16" i="4"/>
  <c r="F16" i="4"/>
  <c r="E16" i="4"/>
  <c r="D16" i="4"/>
  <c r="C16" i="4"/>
  <c r="E22" i="12" l="1"/>
  <c r="P22" i="12"/>
  <c r="O22" i="12"/>
  <c r="L22" i="12"/>
  <c r="K22" i="12"/>
  <c r="H22" i="12"/>
  <c r="G22" i="12"/>
  <c r="F22" i="12"/>
  <c r="D22" i="12"/>
  <c r="C22" i="12"/>
  <c r="P15" i="12"/>
  <c r="O15" i="12"/>
  <c r="L15" i="12"/>
  <c r="K15" i="12"/>
  <c r="H15" i="12"/>
  <c r="G15" i="12"/>
  <c r="F15" i="12"/>
  <c r="D15" i="12"/>
  <c r="O24" i="15"/>
  <c r="Q17" i="15"/>
  <c r="R25" i="14" l="1"/>
  <c r="R24" i="14"/>
  <c r="R23" i="14"/>
  <c r="R22" i="14"/>
  <c r="R16" i="14"/>
  <c r="R15" i="14"/>
  <c r="R21" i="14"/>
  <c r="R20" i="14"/>
  <c r="R19" i="14"/>
  <c r="R18" i="14"/>
  <c r="R14" i="14"/>
  <c r="R13" i="14"/>
  <c r="R10" i="14"/>
  <c r="R9" i="14"/>
  <c r="N8" i="14"/>
  <c r="L8" i="14" l="1"/>
  <c r="K8" i="14"/>
  <c r="M8" i="14"/>
  <c r="N15" i="14" s="1"/>
  <c r="N22" i="14"/>
  <c r="N13" i="14"/>
  <c r="N11" i="14"/>
  <c r="N10" i="14"/>
  <c r="N9" i="14"/>
  <c r="N21" i="14"/>
  <c r="N18" i="14"/>
  <c r="J25" i="14"/>
  <c r="J24" i="14"/>
  <c r="J23" i="14"/>
  <c r="J22" i="14"/>
  <c r="J21" i="14"/>
  <c r="J20" i="14"/>
  <c r="J19" i="14"/>
  <c r="J18" i="14"/>
  <c r="J16" i="14"/>
  <c r="J15" i="14"/>
  <c r="J14" i="14"/>
  <c r="J13" i="14"/>
  <c r="J12" i="14"/>
  <c r="J11" i="14"/>
  <c r="J10" i="14"/>
  <c r="J9" i="14"/>
  <c r="J8" i="14"/>
  <c r="F25" i="14"/>
  <c r="F24" i="14"/>
  <c r="F23" i="14"/>
  <c r="F22" i="14"/>
  <c r="F16" i="14"/>
  <c r="F15" i="14"/>
  <c r="F21" i="14"/>
  <c r="F20" i="14"/>
  <c r="F19" i="14"/>
  <c r="F18" i="14"/>
  <c r="F14" i="14"/>
  <c r="F13" i="14"/>
  <c r="F12" i="14"/>
  <c r="F11" i="14"/>
  <c r="F10" i="14"/>
  <c r="F9" i="14"/>
  <c r="F8" i="14"/>
  <c r="E8" i="14"/>
  <c r="Q19" i="14"/>
  <c r="Q21" i="14"/>
  <c r="Q20" i="14"/>
  <c r="Q18" i="14"/>
  <c r="Q22" i="14" s="1"/>
  <c r="Q23" i="14" s="1"/>
  <c r="Q14" i="14"/>
  <c r="Q13" i="14"/>
  <c r="Q10" i="14"/>
  <c r="Q9" i="14"/>
  <c r="Q15" i="14" s="1"/>
  <c r="M21" i="14"/>
  <c r="M18" i="14"/>
  <c r="M22" i="14" s="1"/>
  <c r="M23" i="14" s="1"/>
  <c r="M13" i="14"/>
  <c r="M11" i="14"/>
  <c r="M10" i="14"/>
  <c r="M9" i="14"/>
  <c r="I22" i="14"/>
  <c r="I23" i="14" s="1"/>
  <c r="I15" i="14"/>
  <c r="I16" i="14" s="1"/>
  <c r="E21" i="14"/>
  <c r="E20" i="14"/>
  <c r="E19" i="14"/>
  <c r="E18" i="14"/>
  <c r="E14" i="14"/>
  <c r="E13" i="14"/>
  <c r="E12" i="14"/>
  <c r="E11" i="14"/>
  <c r="E10" i="14"/>
  <c r="E9" i="14"/>
  <c r="N16" i="14" l="1"/>
  <c r="N24" i="14"/>
  <c r="N25" i="14" s="1"/>
  <c r="M15" i="14"/>
  <c r="M16" i="14" s="1"/>
  <c r="E15" i="14"/>
  <c r="Q16" i="14"/>
  <c r="Q24" i="14"/>
  <c r="Q25" i="14" s="1"/>
  <c r="E22" i="14"/>
  <c r="E23" i="14" s="1"/>
  <c r="I24" i="14"/>
  <c r="I25" i="14" s="1"/>
  <c r="E16" i="14"/>
  <c r="M24" i="14"/>
  <c r="M25" i="14" s="1"/>
  <c r="E24" i="14" l="1"/>
  <c r="E25" i="14" s="1"/>
  <c r="P15" i="14" l="1"/>
  <c r="P16" i="14" s="1"/>
  <c r="O15" i="14"/>
  <c r="O24" i="14" s="1"/>
  <c r="O25" i="14" s="1"/>
  <c r="P22" i="14"/>
  <c r="P23" i="14" s="1"/>
  <c r="O22" i="14"/>
  <c r="O23" i="14" s="1"/>
  <c r="L22" i="14"/>
  <c r="L23" i="14" s="1"/>
  <c r="K22" i="14"/>
  <c r="K23" i="14" s="1"/>
  <c r="L15" i="14"/>
  <c r="K15" i="14"/>
  <c r="H22" i="14"/>
  <c r="H23" i="14" s="1"/>
  <c r="G22" i="14"/>
  <c r="G23" i="14" s="1"/>
  <c r="H15" i="14"/>
  <c r="H16" i="14" s="1"/>
  <c r="G15" i="14"/>
  <c r="D22" i="14"/>
  <c r="D23" i="14" s="1"/>
  <c r="C22" i="14"/>
  <c r="C23" i="14" s="1"/>
  <c r="D15" i="14"/>
  <c r="D16" i="14" s="1"/>
  <c r="C15" i="14"/>
  <c r="G24" i="14" l="1"/>
  <c r="G25" i="14" s="1"/>
  <c r="P24" i="14"/>
  <c r="P25" i="14" s="1"/>
  <c r="C24" i="14"/>
  <c r="C25" i="14" s="1"/>
  <c r="K24" i="14"/>
  <c r="K25" i="14" s="1"/>
  <c r="L24" i="14"/>
  <c r="L25" i="14" s="1"/>
  <c r="D24" i="14"/>
  <c r="D25" i="14" s="1"/>
  <c r="H24" i="14"/>
  <c r="H25" i="14" s="1"/>
  <c r="L16" i="14"/>
  <c r="O16" i="14"/>
  <c r="C16" i="14"/>
  <c r="G16" i="14"/>
  <c r="K16" i="14"/>
  <c r="N25" i="13"/>
  <c r="N24" i="13"/>
  <c r="N23" i="13"/>
  <c r="N22" i="13"/>
  <c r="N16" i="13"/>
  <c r="N15" i="13"/>
  <c r="M25" i="13"/>
  <c r="M24" i="13"/>
  <c r="M23" i="13"/>
  <c r="M22" i="13"/>
  <c r="M16" i="13"/>
  <c r="M15" i="13"/>
  <c r="J25" i="13"/>
  <c r="J24" i="13"/>
  <c r="J23" i="13"/>
  <c r="J22" i="13"/>
  <c r="J16" i="13"/>
  <c r="J15" i="13"/>
  <c r="F25" i="13"/>
  <c r="F24" i="13"/>
  <c r="F23" i="13"/>
  <c r="F22" i="13"/>
  <c r="F16" i="13"/>
  <c r="F15" i="13"/>
  <c r="N8" i="13"/>
  <c r="N13" i="13"/>
  <c r="N11" i="13"/>
  <c r="N10" i="13"/>
  <c r="N9" i="13"/>
  <c r="N21" i="13"/>
  <c r="N18" i="13"/>
  <c r="J21" i="13"/>
  <c r="J20" i="13"/>
  <c r="J19" i="13"/>
  <c r="J18" i="13"/>
  <c r="J14" i="13"/>
  <c r="J13" i="13"/>
  <c r="J12" i="13"/>
  <c r="J11" i="13"/>
  <c r="J10" i="13"/>
  <c r="J9" i="13"/>
  <c r="J8" i="13"/>
  <c r="R21" i="13"/>
  <c r="R20" i="13"/>
  <c r="R19" i="13"/>
  <c r="R18" i="13"/>
  <c r="R14" i="13"/>
  <c r="R13" i="13"/>
  <c r="Q13" i="13"/>
  <c r="R10" i="13"/>
  <c r="R9" i="13"/>
  <c r="F14" i="13"/>
  <c r="F13" i="13"/>
  <c r="F12" i="13"/>
  <c r="F11" i="13"/>
  <c r="F10" i="13"/>
  <c r="F9" i="13"/>
  <c r="F8" i="13"/>
  <c r="F21" i="13"/>
  <c r="F20" i="13"/>
  <c r="E20" i="13"/>
  <c r="F19" i="13"/>
  <c r="E19" i="13"/>
  <c r="F18" i="13"/>
  <c r="Q21" i="13"/>
  <c r="Q20" i="13"/>
  <c r="Q19" i="13"/>
  <c r="Q18" i="13"/>
  <c r="Q14" i="13"/>
  <c r="Q10" i="13"/>
  <c r="Q9" i="13"/>
  <c r="P22" i="13"/>
  <c r="P23" i="13" s="1"/>
  <c r="O22" i="13"/>
  <c r="O23" i="13" s="1"/>
  <c r="P15" i="13"/>
  <c r="P16" i="13" s="1"/>
  <c r="O15" i="13"/>
  <c r="O16" i="13" s="1"/>
  <c r="M21" i="13"/>
  <c r="M11" i="13"/>
  <c r="I22" i="13"/>
  <c r="I15" i="13"/>
  <c r="I16" i="13" s="1"/>
  <c r="D22" i="13"/>
  <c r="D23" i="13" s="1"/>
  <c r="D15" i="13"/>
  <c r="D16" i="13" s="1"/>
  <c r="C15" i="13"/>
  <c r="C16" i="13" s="1"/>
  <c r="C22" i="13"/>
  <c r="C24" i="13" s="1"/>
  <c r="C25" i="13" s="1"/>
  <c r="E21" i="13"/>
  <c r="E18" i="13"/>
  <c r="E14" i="13"/>
  <c r="E13" i="13"/>
  <c r="E12" i="13"/>
  <c r="E11" i="13"/>
  <c r="E10" i="13"/>
  <c r="E9" i="13"/>
  <c r="E8" i="13"/>
  <c r="Q22" i="13" l="1"/>
  <c r="Q23" i="13" s="1"/>
  <c r="R22" i="13"/>
  <c r="R23" i="13" s="1"/>
  <c r="I24" i="13"/>
  <c r="I25" i="13" s="1"/>
  <c r="E15" i="13"/>
  <c r="E16" i="13" s="1"/>
  <c r="Q15" i="13"/>
  <c r="R15" i="13"/>
  <c r="R16" i="13" s="1"/>
  <c r="E22" i="13"/>
  <c r="E23" i="13" s="1"/>
  <c r="C23" i="13"/>
  <c r="Q24" i="13"/>
  <c r="Q25" i="13" s="1"/>
  <c r="Q16" i="13"/>
  <c r="D24" i="13"/>
  <c r="D25" i="13" s="1"/>
  <c r="O24" i="13"/>
  <c r="O25" i="13" s="1"/>
  <c r="P24" i="13"/>
  <c r="P25" i="13" s="1"/>
  <c r="I23" i="13"/>
  <c r="E24" i="13" l="1"/>
  <c r="E25" i="13" s="1"/>
  <c r="R24" i="13"/>
  <c r="R25" i="13" s="1"/>
  <c r="L8" i="13"/>
  <c r="L15" i="13" s="1"/>
  <c r="K8" i="13"/>
  <c r="M8" i="13" s="1"/>
  <c r="L22" i="13"/>
  <c r="L23" i="13" s="1"/>
  <c r="K22" i="13"/>
  <c r="K23" i="13" s="1"/>
  <c r="H22" i="13"/>
  <c r="H23" i="13" s="1"/>
  <c r="G22" i="13"/>
  <c r="G23" i="13" s="1"/>
  <c r="H15" i="13"/>
  <c r="H16" i="13" s="1"/>
  <c r="G15" i="13"/>
  <c r="G16" i="13" s="1"/>
  <c r="G24" i="13" l="1"/>
  <c r="G25" i="13" s="1"/>
  <c r="K15" i="13"/>
  <c r="K16" i="13" s="1"/>
  <c r="H24" i="13"/>
  <c r="H25" i="13" s="1"/>
  <c r="L24" i="13"/>
  <c r="L25" i="13" s="1"/>
  <c r="L16" i="13"/>
  <c r="V25" i="15"/>
  <c r="V26" i="15" s="1"/>
  <c r="V24" i="15"/>
  <c r="V23" i="15"/>
  <c r="V17" i="15"/>
  <c r="V16" i="15"/>
  <c r="V15" i="15"/>
  <c r="V14" i="15"/>
  <c r="V22" i="15"/>
  <c r="V21" i="15"/>
  <c r="V20" i="15"/>
  <c r="V10" i="15"/>
  <c r="V11" i="15"/>
  <c r="V19" i="15"/>
  <c r="U26" i="15"/>
  <c r="U25" i="15"/>
  <c r="U24" i="15"/>
  <c r="U23" i="15"/>
  <c r="T26" i="15"/>
  <c r="T25" i="15"/>
  <c r="T24" i="15"/>
  <c r="T23" i="15"/>
  <c r="S26" i="15"/>
  <c r="S25" i="15"/>
  <c r="S24" i="15"/>
  <c r="S23" i="15"/>
  <c r="U17" i="15"/>
  <c r="T17" i="15"/>
  <c r="S17" i="15"/>
  <c r="U16" i="15"/>
  <c r="T16" i="15"/>
  <c r="S16" i="15"/>
  <c r="R26" i="15"/>
  <c r="R25" i="15"/>
  <c r="R24" i="15"/>
  <c r="R23" i="15"/>
  <c r="R17" i="15"/>
  <c r="R16" i="15"/>
  <c r="P9" i="15"/>
  <c r="O9" i="15"/>
  <c r="N9" i="15"/>
  <c r="M9" i="15"/>
  <c r="Q23" i="15"/>
  <c r="Q22" i="15"/>
  <c r="Q19" i="15"/>
  <c r="Q14" i="15"/>
  <c r="Q12" i="15"/>
  <c r="Q10" i="15"/>
  <c r="Q9" i="15"/>
  <c r="Q16" i="15" s="1"/>
  <c r="N25" i="15"/>
  <c r="N26" i="15" s="1"/>
  <c r="P24" i="15"/>
  <c r="P23" i="15"/>
  <c r="O23" i="15"/>
  <c r="N24" i="15"/>
  <c r="N23" i="15"/>
  <c r="N17" i="15"/>
  <c r="P16" i="15"/>
  <c r="P25" i="15" s="1"/>
  <c r="P26" i="15" s="1"/>
  <c r="O16" i="15"/>
  <c r="O17" i="15" s="1"/>
  <c r="N16" i="15"/>
  <c r="M24" i="15"/>
  <c r="M23" i="15"/>
  <c r="M16" i="15"/>
  <c r="M25" i="15" s="1"/>
  <c r="M26" i="15" s="1"/>
  <c r="K26" i="15"/>
  <c r="J26" i="15"/>
  <c r="I26" i="15"/>
  <c r="H26" i="15"/>
  <c r="K24" i="15"/>
  <c r="J24" i="15"/>
  <c r="I24" i="15"/>
  <c r="H24" i="15"/>
  <c r="H17" i="15"/>
  <c r="I17" i="15"/>
  <c r="J17" i="15"/>
  <c r="K17" i="15"/>
  <c r="L26" i="15"/>
  <c r="L25" i="15"/>
  <c r="L24" i="15"/>
  <c r="L23" i="15"/>
  <c r="L17" i="15"/>
  <c r="L16" i="15"/>
  <c r="L22" i="15"/>
  <c r="L21" i="15"/>
  <c r="L20" i="15"/>
  <c r="L19" i="15"/>
  <c r="L15" i="15"/>
  <c r="L14" i="15"/>
  <c r="L13" i="15"/>
  <c r="L12" i="15"/>
  <c r="L11" i="15"/>
  <c r="L10" i="15"/>
  <c r="L9" i="15"/>
  <c r="K25" i="15"/>
  <c r="J25" i="15"/>
  <c r="I25" i="15"/>
  <c r="K23" i="15"/>
  <c r="J23" i="15"/>
  <c r="I23" i="15"/>
  <c r="K16" i="15"/>
  <c r="J16" i="15"/>
  <c r="I16" i="15"/>
  <c r="H25" i="15"/>
  <c r="H23" i="15"/>
  <c r="H16" i="15"/>
  <c r="G26" i="15"/>
  <c r="G25" i="15"/>
  <c r="G24" i="15"/>
  <c r="G23" i="15"/>
  <c r="G17" i="15"/>
  <c r="G16" i="15"/>
  <c r="G22" i="15"/>
  <c r="G21" i="15"/>
  <c r="G20" i="15"/>
  <c r="G19" i="15"/>
  <c r="G15" i="15"/>
  <c r="G14" i="15"/>
  <c r="G13" i="15"/>
  <c r="G12" i="15"/>
  <c r="G11" i="15"/>
  <c r="G10" i="15"/>
  <c r="G9" i="15"/>
  <c r="F26" i="15"/>
  <c r="E26" i="15"/>
  <c r="D26" i="15"/>
  <c r="C26" i="15"/>
  <c r="F24" i="15"/>
  <c r="E24" i="15"/>
  <c r="D24" i="15"/>
  <c r="C24" i="15"/>
  <c r="F17" i="15"/>
  <c r="E17" i="15"/>
  <c r="D17" i="15"/>
  <c r="C17" i="15"/>
  <c r="F25" i="15"/>
  <c r="E25" i="15"/>
  <c r="F23" i="15"/>
  <c r="E23" i="15"/>
  <c r="F16" i="15"/>
  <c r="E16" i="15"/>
  <c r="D25" i="15"/>
  <c r="D23" i="15"/>
  <c r="D16" i="15"/>
  <c r="C25" i="15"/>
  <c r="C23" i="15"/>
  <c r="C16" i="15"/>
  <c r="K24" i="13" l="1"/>
  <c r="K25" i="13" s="1"/>
  <c r="P17" i="15"/>
  <c r="O25" i="15"/>
  <c r="M17" i="15"/>
  <c r="J23" i="8"/>
  <c r="H23" i="8"/>
  <c r="F23" i="8"/>
  <c r="D23" i="8"/>
  <c r="J20" i="8"/>
  <c r="H20" i="8"/>
  <c r="F20" i="8"/>
  <c r="D20" i="8"/>
  <c r="J16" i="8"/>
  <c r="F16" i="8"/>
  <c r="D16" i="8"/>
  <c r="H13" i="8"/>
  <c r="F13" i="8"/>
  <c r="D13" i="8"/>
  <c r="J12" i="8"/>
  <c r="H12" i="8"/>
  <c r="F12" i="8"/>
  <c r="D12" i="8"/>
  <c r="J11" i="8"/>
  <c r="H11" i="8"/>
  <c r="F11" i="8"/>
  <c r="D11" i="8"/>
  <c r="P21" i="7"/>
  <c r="P18" i="7"/>
  <c r="P11" i="7"/>
  <c r="P10" i="7"/>
  <c r="P9" i="7"/>
  <c r="N21" i="7"/>
  <c r="N18" i="7"/>
  <c r="N14" i="7"/>
  <c r="N11" i="7"/>
  <c r="N10" i="7"/>
  <c r="N9" i="7"/>
  <c r="L21" i="7"/>
  <c r="L18" i="7"/>
  <c r="L14" i="7"/>
  <c r="L11" i="7"/>
  <c r="L10" i="7"/>
  <c r="L9" i="7"/>
  <c r="R21" i="7"/>
  <c r="R18" i="7"/>
  <c r="R14" i="7"/>
  <c r="R10" i="7"/>
  <c r="R9" i="7"/>
  <c r="J21" i="7"/>
  <c r="J18" i="7"/>
  <c r="J14" i="7"/>
  <c r="J10" i="7"/>
  <c r="J9" i="7"/>
  <c r="H21" i="7"/>
  <c r="H18" i="7"/>
  <c r="H11" i="7"/>
  <c r="H10" i="7"/>
  <c r="H9" i="7"/>
  <c r="F21" i="7"/>
  <c r="F18" i="7"/>
  <c r="F14" i="7"/>
  <c r="F11" i="7"/>
  <c r="F10" i="7"/>
  <c r="F9" i="7"/>
  <c r="D21" i="7"/>
  <c r="D18" i="7"/>
  <c r="D14" i="7"/>
  <c r="D11" i="7"/>
  <c r="D9" i="7"/>
  <c r="D10" i="7"/>
  <c r="J25" i="11" l="1"/>
  <c r="I25" i="11"/>
  <c r="H25" i="11"/>
  <c r="G25" i="11"/>
  <c r="F25" i="11"/>
  <c r="E25" i="11"/>
  <c r="J24" i="11"/>
  <c r="I24" i="11"/>
  <c r="I23" i="11"/>
  <c r="H24" i="11"/>
  <c r="G24" i="11"/>
  <c r="F24" i="11"/>
  <c r="E24" i="11"/>
  <c r="J23" i="11"/>
  <c r="H23" i="11"/>
  <c r="G23" i="11"/>
  <c r="F23" i="11"/>
  <c r="E23" i="11"/>
  <c r="J22" i="11"/>
  <c r="I22" i="11"/>
  <c r="H22" i="11"/>
  <c r="G22" i="11"/>
  <c r="F22" i="11"/>
  <c r="E22" i="11"/>
  <c r="J16" i="11"/>
  <c r="I16" i="11"/>
  <c r="H16" i="11"/>
  <c r="G16" i="11"/>
  <c r="F16" i="11"/>
  <c r="E16" i="11"/>
  <c r="J15" i="11"/>
  <c r="I15" i="11"/>
  <c r="H15" i="11"/>
  <c r="G15" i="11"/>
  <c r="F15" i="11"/>
  <c r="E15" i="11"/>
  <c r="E8" i="11"/>
  <c r="E21" i="11"/>
  <c r="E13" i="11"/>
  <c r="E11" i="11"/>
  <c r="E10" i="11"/>
  <c r="E9" i="11"/>
  <c r="E18" i="11"/>
  <c r="F21" i="11"/>
  <c r="F20" i="11"/>
  <c r="F19" i="11"/>
  <c r="F14" i="11"/>
  <c r="F13" i="11"/>
  <c r="F10" i="11"/>
  <c r="F18" i="11"/>
  <c r="F9" i="11"/>
  <c r="D20" i="11"/>
  <c r="D19" i="11"/>
  <c r="D14" i="11"/>
  <c r="D13" i="11"/>
  <c r="D12" i="11"/>
  <c r="D11" i="11"/>
  <c r="D10" i="11"/>
  <c r="D9" i="11"/>
  <c r="D8" i="11"/>
  <c r="D21" i="11"/>
  <c r="D18" i="11"/>
  <c r="C21" i="11"/>
  <c r="C20" i="11"/>
  <c r="C19" i="11"/>
  <c r="C18" i="11"/>
  <c r="C14" i="11"/>
  <c r="C13" i="11"/>
  <c r="C12" i="11"/>
  <c r="C11" i="11"/>
  <c r="C10" i="11"/>
  <c r="C9" i="11"/>
  <c r="C8" i="11"/>
  <c r="J21" i="11"/>
  <c r="I21" i="11"/>
  <c r="H21" i="11"/>
  <c r="G21" i="11"/>
  <c r="J20" i="11"/>
  <c r="H20" i="11"/>
  <c r="G20" i="11"/>
  <c r="J19" i="11"/>
  <c r="H19" i="11"/>
  <c r="G19" i="11"/>
  <c r="J18" i="11"/>
  <c r="I18" i="11"/>
  <c r="H18" i="11"/>
  <c r="G18" i="11"/>
  <c r="J14" i="11"/>
  <c r="H14" i="11"/>
  <c r="G14" i="11"/>
  <c r="J13" i="11"/>
  <c r="I13" i="11"/>
  <c r="H13" i="11"/>
  <c r="G13" i="11"/>
  <c r="H12" i="11"/>
  <c r="G12" i="11"/>
  <c r="I11" i="11"/>
  <c r="H11" i="11"/>
  <c r="G11" i="11"/>
  <c r="J10" i="11"/>
  <c r="I10" i="11"/>
  <c r="H10" i="11"/>
  <c r="G10" i="11"/>
  <c r="J9" i="11"/>
  <c r="I9" i="11"/>
  <c r="H9" i="11"/>
  <c r="G9" i="11"/>
  <c r="I8" i="11"/>
  <c r="H8" i="11"/>
  <c r="G8" i="11"/>
  <c r="J21" i="10"/>
  <c r="J20" i="10"/>
  <c r="J19" i="10"/>
  <c r="J18" i="10"/>
  <c r="J22" i="10" s="1"/>
  <c r="J23" i="10" s="1"/>
  <c r="J14" i="10"/>
  <c r="J13" i="10"/>
  <c r="J10" i="10"/>
  <c r="J9" i="10"/>
  <c r="J15" i="10" s="1"/>
  <c r="I22" i="10"/>
  <c r="I23" i="10" s="1"/>
  <c r="I21" i="10"/>
  <c r="I18" i="10"/>
  <c r="I13" i="10"/>
  <c r="I11" i="10"/>
  <c r="I10" i="10"/>
  <c r="I9" i="10"/>
  <c r="I8" i="10"/>
  <c r="I15" i="10" s="1"/>
  <c r="H21" i="10"/>
  <c r="H20" i="10"/>
  <c r="H19" i="10"/>
  <c r="H18" i="10"/>
  <c r="H22" i="10" s="1"/>
  <c r="H23" i="10" s="1"/>
  <c r="H14" i="10"/>
  <c r="H13" i="10"/>
  <c r="H12" i="10"/>
  <c r="H11" i="10"/>
  <c r="H10" i="10"/>
  <c r="H9" i="10"/>
  <c r="H8" i="10"/>
  <c r="G21" i="10"/>
  <c r="G20" i="10"/>
  <c r="G19" i="10"/>
  <c r="G18" i="10"/>
  <c r="G14" i="10"/>
  <c r="G13" i="10"/>
  <c r="G12" i="10"/>
  <c r="G11" i="10"/>
  <c r="G10" i="10"/>
  <c r="G9" i="10"/>
  <c r="G8" i="10"/>
  <c r="F21" i="10"/>
  <c r="F20" i="10"/>
  <c r="F19" i="10"/>
  <c r="F18" i="10"/>
  <c r="F14" i="10"/>
  <c r="F13" i="10"/>
  <c r="F10" i="10"/>
  <c r="F9" i="10"/>
  <c r="F15" i="10" s="1"/>
  <c r="F16" i="10" s="1"/>
  <c r="E21" i="10"/>
  <c r="E18" i="10"/>
  <c r="E13" i="10"/>
  <c r="E11" i="10"/>
  <c r="E10" i="10"/>
  <c r="E9" i="10"/>
  <c r="E8" i="10"/>
  <c r="D21" i="10"/>
  <c r="D20" i="10"/>
  <c r="D19" i="10"/>
  <c r="D18" i="10"/>
  <c r="D14" i="10"/>
  <c r="D13" i="10"/>
  <c r="D12" i="10"/>
  <c r="D11" i="10"/>
  <c r="D10" i="10"/>
  <c r="D9" i="10"/>
  <c r="D8" i="10"/>
  <c r="C21" i="10"/>
  <c r="C20" i="10"/>
  <c r="C19" i="10"/>
  <c r="C18" i="10"/>
  <c r="C14" i="10"/>
  <c r="C13" i="10"/>
  <c r="C12" i="10"/>
  <c r="C11" i="10"/>
  <c r="C10" i="10"/>
  <c r="C9" i="10"/>
  <c r="C8" i="10"/>
  <c r="C15" i="10" s="1"/>
  <c r="D22" i="11" l="1"/>
  <c r="D23" i="11" s="1"/>
  <c r="D15" i="11"/>
  <c r="D16" i="11"/>
  <c r="D24" i="11"/>
  <c r="D25" i="11" s="1"/>
  <c r="C22" i="11"/>
  <c r="C23" i="11" s="1"/>
  <c r="C15" i="11"/>
  <c r="C24" i="11" s="1"/>
  <c r="C25" i="11" s="1"/>
  <c r="G22" i="10"/>
  <c r="G23" i="10" s="1"/>
  <c r="H15" i="10"/>
  <c r="H16" i="10" s="1"/>
  <c r="D22" i="10"/>
  <c r="D23" i="10" s="1"/>
  <c r="E15" i="10"/>
  <c r="E16" i="10" s="1"/>
  <c r="F22" i="10"/>
  <c r="F23" i="10" s="1"/>
  <c r="G15" i="10"/>
  <c r="G16" i="10" s="1"/>
  <c r="C22" i="10"/>
  <c r="C23" i="10" s="1"/>
  <c r="D15" i="10"/>
  <c r="D24" i="10" s="1"/>
  <c r="D25" i="10" s="1"/>
  <c r="E22" i="10"/>
  <c r="E23" i="10" s="1"/>
  <c r="E24" i="10"/>
  <c r="E25" i="10" s="1"/>
  <c r="D16" i="10"/>
  <c r="C16" i="10"/>
  <c r="C24" i="10"/>
  <c r="C25" i="10" s="1"/>
  <c r="I24" i="10"/>
  <c r="I25" i="10" s="1"/>
  <c r="I16" i="10"/>
  <c r="J16" i="10"/>
  <c r="J24" i="10"/>
  <c r="J25" i="10" s="1"/>
  <c r="H24" i="10"/>
  <c r="H25" i="10" s="1"/>
  <c r="I24" i="6"/>
  <c r="I23" i="6"/>
  <c r="N21" i="6"/>
  <c r="N14" i="6"/>
  <c r="N15" i="6" s="1"/>
  <c r="H21" i="6"/>
  <c r="H22" i="6" s="1"/>
  <c r="E21" i="6"/>
  <c r="H14" i="6"/>
  <c r="E14" i="6"/>
  <c r="K14" i="6"/>
  <c r="K21" i="6"/>
  <c r="K22" i="6" s="1"/>
  <c r="N23" i="6"/>
  <c r="N24" i="6" s="1"/>
  <c r="N22" i="6"/>
  <c r="N20" i="6"/>
  <c r="N19" i="6"/>
  <c r="N18" i="6"/>
  <c r="N17" i="6"/>
  <c r="N13" i="6"/>
  <c r="N12" i="6"/>
  <c r="N9" i="6"/>
  <c r="N8" i="6"/>
  <c r="M24" i="6"/>
  <c r="M23" i="6"/>
  <c r="M15" i="6"/>
  <c r="M14" i="6"/>
  <c r="M22" i="6"/>
  <c r="M21" i="6"/>
  <c r="J7" i="6"/>
  <c r="K7" i="6" s="1"/>
  <c r="K20" i="6"/>
  <c r="K17" i="6"/>
  <c r="K12" i="6"/>
  <c r="K10" i="6"/>
  <c r="K9" i="6"/>
  <c r="K8" i="6"/>
  <c r="J22" i="6"/>
  <c r="J21" i="6"/>
  <c r="H20" i="6"/>
  <c r="H19" i="6"/>
  <c r="H18" i="6"/>
  <c r="H17" i="6"/>
  <c r="H13" i="6"/>
  <c r="H12" i="6"/>
  <c r="H11" i="6"/>
  <c r="H10" i="6"/>
  <c r="H9" i="6"/>
  <c r="H8" i="6"/>
  <c r="H7" i="6"/>
  <c r="G24" i="6"/>
  <c r="G23" i="6"/>
  <c r="G15" i="6"/>
  <c r="G14" i="6"/>
  <c r="G22" i="6"/>
  <c r="G21" i="6"/>
  <c r="E22" i="6"/>
  <c r="E20" i="6"/>
  <c r="E19" i="6"/>
  <c r="E18" i="6"/>
  <c r="E17" i="6"/>
  <c r="E13" i="6"/>
  <c r="E12" i="6"/>
  <c r="E11" i="6"/>
  <c r="E10" i="6"/>
  <c r="E9" i="6"/>
  <c r="E8" i="6"/>
  <c r="E7" i="6"/>
  <c r="D24" i="6"/>
  <c r="D23" i="6"/>
  <c r="D15" i="6"/>
  <c r="D14" i="6"/>
  <c r="D22" i="6"/>
  <c r="D21" i="6"/>
  <c r="C16" i="11" l="1"/>
  <c r="G24" i="10"/>
  <c r="G25" i="10" s="1"/>
  <c r="F24" i="10"/>
  <c r="F25" i="10" s="1"/>
  <c r="H23" i="6"/>
  <c r="H24" i="6" s="1"/>
  <c r="E23" i="6"/>
  <c r="E24" i="6" s="1"/>
  <c r="H15" i="6"/>
  <c r="E15" i="6"/>
  <c r="J14" i="6"/>
  <c r="J25" i="9"/>
  <c r="J16" i="9"/>
  <c r="J15" i="9"/>
  <c r="J22" i="9"/>
  <c r="J23" i="9" s="1"/>
  <c r="E23" i="9"/>
  <c r="F25" i="9"/>
  <c r="F24" i="9"/>
  <c r="F23" i="9"/>
  <c r="F22" i="9"/>
  <c r="F16" i="9"/>
  <c r="F15" i="9"/>
  <c r="L24" i="6"/>
  <c r="L23" i="6"/>
  <c r="L22" i="6"/>
  <c r="L15" i="6"/>
  <c r="L21" i="6"/>
  <c r="L14" i="6"/>
  <c r="I24" i="9"/>
  <c r="I25" i="9" s="1"/>
  <c r="I16" i="9"/>
  <c r="I15" i="9"/>
  <c r="I23" i="9"/>
  <c r="I22" i="9"/>
  <c r="E25" i="9"/>
  <c r="E24" i="9"/>
  <c r="E22" i="9"/>
  <c r="E16" i="9"/>
  <c r="E15" i="9"/>
  <c r="E8" i="9"/>
  <c r="I22" i="6"/>
  <c r="I15" i="6"/>
  <c r="I21" i="6"/>
  <c r="I14" i="6"/>
  <c r="H23" i="9"/>
  <c r="H16" i="9"/>
  <c r="H25" i="9"/>
  <c r="H24" i="9"/>
  <c r="H22" i="9"/>
  <c r="H15" i="9"/>
  <c r="G16" i="9"/>
  <c r="G23" i="9"/>
  <c r="G25" i="9"/>
  <c r="D25" i="9"/>
  <c r="C25" i="9"/>
  <c r="D23" i="9"/>
  <c r="C23" i="9"/>
  <c r="D16" i="9"/>
  <c r="C16" i="9"/>
  <c r="D24" i="9"/>
  <c r="D15" i="9"/>
  <c r="D22" i="9"/>
  <c r="F22" i="6"/>
  <c r="F15" i="6"/>
  <c r="F24" i="6"/>
  <c r="F23" i="6"/>
  <c r="F21" i="6"/>
  <c r="F14" i="6"/>
  <c r="G24" i="9"/>
  <c r="G22" i="9"/>
  <c r="G15" i="9"/>
  <c r="C24" i="9"/>
  <c r="C22" i="9"/>
  <c r="C15" i="9"/>
  <c r="C22" i="6"/>
  <c r="C15" i="6"/>
  <c r="C24" i="6"/>
  <c r="C23" i="6"/>
  <c r="J23" i="6" l="1"/>
  <c r="J15" i="6"/>
  <c r="J24" i="9"/>
  <c r="C21" i="6"/>
  <c r="C14" i="6"/>
  <c r="K23" i="6" l="1"/>
  <c r="K24" i="6" s="1"/>
  <c r="K15" i="6"/>
  <c r="F23" i="12"/>
  <c r="F21" i="12"/>
  <c r="F14" i="12"/>
  <c r="E21" i="12"/>
  <c r="E14" i="12"/>
  <c r="E15" i="12" s="1"/>
  <c r="P14" i="12"/>
  <c r="P23" i="12" s="1"/>
  <c r="P21" i="12"/>
  <c r="L14" i="12"/>
  <c r="L23" i="12" s="1"/>
  <c r="L21" i="12"/>
  <c r="H14" i="12"/>
  <c r="H23" i="12" s="1"/>
  <c r="H21" i="12"/>
  <c r="D23" i="12"/>
  <c r="D24" i="12" s="1"/>
  <c r="D14" i="12"/>
  <c r="D21" i="12"/>
  <c r="O14" i="12"/>
  <c r="O23" i="12" s="1"/>
  <c r="O21" i="12"/>
  <c r="K21" i="12"/>
  <c r="K14" i="12"/>
  <c r="K23" i="12" s="1"/>
  <c r="G21" i="12"/>
  <c r="G14" i="12"/>
  <c r="G23" i="12" s="1"/>
  <c r="C23" i="12"/>
  <c r="C24" i="12" s="1"/>
  <c r="C21" i="12"/>
  <c r="C14" i="12"/>
  <c r="C15" i="12" s="1"/>
  <c r="E23" i="12" l="1"/>
  <c r="E24" i="12" s="1"/>
  <c r="Q21" i="4"/>
  <c r="Q20" i="4"/>
  <c r="Q19" i="4"/>
  <c r="Q18" i="4"/>
  <c r="Q22" i="4" s="1"/>
  <c r="Q14" i="4"/>
  <c r="Q13" i="4"/>
  <c r="Q10" i="4"/>
  <c r="Q9" i="4"/>
  <c r="Q15" i="4" s="1"/>
  <c r="N21" i="5"/>
  <c r="N20" i="5"/>
  <c r="N19" i="5"/>
  <c r="N18" i="5"/>
  <c r="N14" i="5"/>
  <c r="N13" i="5"/>
  <c r="N10" i="5"/>
  <c r="N9" i="5"/>
  <c r="L15" i="5"/>
  <c r="L24" i="5" s="1"/>
  <c r="L25" i="5" s="1"/>
  <c r="M15" i="5"/>
  <c r="M22" i="5"/>
  <c r="P22" i="4"/>
  <c r="P15" i="4"/>
  <c r="K21" i="5"/>
  <c r="K18" i="5"/>
  <c r="K22" i="5" s="1"/>
  <c r="K13" i="5"/>
  <c r="K11" i="5"/>
  <c r="K10" i="5"/>
  <c r="K9" i="5"/>
  <c r="I8" i="5"/>
  <c r="I15" i="5" s="1"/>
  <c r="O22" i="4"/>
  <c r="O15" i="4"/>
  <c r="O24" i="4" s="1"/>
  <c r="O25" i="4" s="1"/>
  <c r="L22" i="5"/>
  <c r="N21" i="4"/>
  <c r="N18" i="4"/>
  <c r="N13" i="4"/>
  <c r="N11" i="4"/>
  <c r="N10" i="4"/>
  <c r="N9" i="4"/>
  <c r="M22" i="4"/>
  <c r="J22" i="5"/>
  <c r="J8" i="5"/>
  <c r="J15" i="5" s="1"/>
  <c r="J24" i="5" s="1"/>
  <c r="J25" i="5" s="1"/>
  <c r="M8" i="4"/>
  <c r="M15" i="4" s="1"/>
  <c r="L22" i="4"/>
  <c r="I22" i="5"/>
  <c r="L8" i="4"/>
  <c r="N8" i="4" s="1"/>
  <c r="H21" i="5"/>
  <c r="H20" i="5"/>
  <c r="H19" i="5"/>
  <c r="H18" i="5"/>
  <c r="H14" i="5"/>
  <c r="H13" i="5"/>
  <c r="H12" i="5"/>
  <c r="H11" i="5"/>
  <c r="H10" i="5"/>
  <c r="H9" i="5"/>
  <c r="H8" i="5"/>
  <c r="K21" i="4"/>
  <c r="K20" i="4"/>
  <c r="K19" i="4"/>
  <c r="K18" i="4"/>
  <c r="K14" i="4"/>
  <c r="K13" i="4"/>
  <c r="K12" i="4"/>
  <c r="K11" i="4"/>
  <c r="K10" i="4"/>
  <c r="K9" i="4"/>
  <c r="K8" i="4"/>
  <c r="G15" i="5"/>
  <c r="G22" i="5"/>
  <c r="J15" i="4"/>
  <c r="J22" i="4"/>
  <c r="F15" i="5"/>
  <c r="F24" i="5" s="1"/>
  <c r="F25" i="5" s="1"/>
  <c r="F22" i="5"/>
  <c r="I15" i="4"/>
  <c r="I22" i="4"/>
  <c r="C8" i="5"/>
  <c r="D8" i="5"/>
  <c r="D15" i="5" s="1"/>
  <c r="D24" i="5" s="1"/>
  <c r="D25" i="5" s="1"/>
  <c r="F8" i="4"/>
  <c r="F15" i="4" s="1"/>
  <c r="E21" i="5"/>
  <c r="E20" i="5"/>
  <c r="E19" i="5"/>
  <c r="E18" i="5"/>
  <c r="E14" i="5"/>
  <c r="E13" i="5"/>
  <c r="E12" i="5"/>
  <c r="E11" i="5"/>
  <c r="E10" i="5"/>
  <c r="E9" i="5"/>
  <c r="D22" i="5"/>
  <c r="C22" i="5"/>
  <c r="E21" i="4"/>
  <c r="E20" i="4"/>
  <c r="E19" i="4"/>
  <c r="E18" i="4"/>
  <c r="E14" i="4"/>
  <c r="E13" i="4"/>
  <c r="E12" i="4"/>
  <c r="E11" i="4"/>
  <c r="E10" i="4"/>
  <c r="E9" i="4"/>
  <c r="E8" i="4"/>
  <c r="G21" i="4"/>
  <c r="H21" i="4" s="1"/>
  <c r="G20" i="4"/>
  <c r="H20" i="4" s="1"/>
  <c r="G19" i="4"/>
  <c r="H19" i="4" s="1"/>
  <c r="G18" i="4"/>
  <c r="H18" i="4" s="1"/>
  <c r="G14" i="4"/>
  <c r="H14" i="4" s="1"/>
  <c r="G13" i="4"/>
  <c r="H13" i="4" s="1"/>
  <c r="G12" i="4"/>
  <c r="H12" i="4" s="1"/>
  <c r="G11" i="4"/>
  <c r="H11" i="4" s="1"/>
  <c r="G10" i="4"/>
  <c r="H10" i="4" s="1"/>
  <c r="G9" i="4"/>
  <c r="H9" i="4" s="1"/>
  <c r="F22" i="4"/>
  <c r="D15" i="4"/>
  <c r="D22" i="4"/>
  <c r="C15" i="4"/>
  <c r="C22" i="4"/>
  <c r="G8" i="4" l="1"/>
  <c r="I24" i="4"/>
  <c r="I25" i="4" s="1"/>
  <c r="K22" i="4"/>
  <c r="J24" i="4"/>
  <c r="J25" i="4" s="1"/>
  <c r="L15" i="4"/>
  <c r="L24" i="4" s="1"/>
  <c r="L25" i="4" s="1"/>
  <c r="N15" i="4"/>
  <c r="M24" i="4"/>
  <c r="M25" i="4" s="1"/>
  <c r="N22" i="4"/>
  <c r="G15" i="4"/>
  <c r="K15" i="4"/>
  <c r="K24" i="4" s="1"/>
  <c r="K25" i="4" s="1"/>
  <c r="I24" i="5"/>
  <c r="I25" i="5" s="1"/>
  <c r="N15" i="5"/>
  <c r="N22" i="5"/>
  <c r="E22" i="5"/>
  <c r="H15" i="5"/>
  <c r="G24" i="5"/>
  <c r="G25" i="5" s="1"/>
  <c r="H22" i="5"/>
  <c r="Q24" i="4"/>
  <c r="Q25" i="4" s="1"/>
  <c r="H22" i="4"/>
  <c r="D24" i="4"/>
  <c r="D25" i="4" s="1"/>
  <c r="P24" i="4"/>
  <c r="P25" i="4" s="1"/>
  <c r="F24" i="4"/>
  <c r="F25" i="4" s="1"/>
  <c r="E22" i="4"/>
  <c r="C24" i="4"/>
  <c r="C25" i="4" s="1"/>
  <c r="G22" i="4"/>
  <c r="G24" i="4" s="1"/>
  <c r="G25" i="4" s="1"/>
  <c r="E15" i="4"/>
  <c r="E24" i="4" s="1"/>
  <c r="E25" i="4" s="1"/>
  <c r="M24" i="5"/>
  <c r="M25" i="5" s="1"/>
  <c r="K8" i="5"/>
  <c r="K15" i="5" s="1"/>
  <c r="K24" i="5" s="1"/>
  <c r="K25" i="5" s="1"/>
  <c r="H8" i="4"/>
  <c r="H15" i="4" s="1"/>
  <c r="E8" i="5"/>
  <c r="E15" i="5" s="1"/>
  <c r="E24" i="5" s="1"/>
  <c r="E25" i="5" s="1"/>
  <c r="C15" i="5"/>
  <c r="C24" i="5" s="1"/>
  <c r="C25" i="5" s="1"/>
  <c r="H24" i="4" l="1"/>
  <c r="H25" i="4" s="1"/>
  <c r="N24" i="4"/>
  <c r="N25" i="4" s="1"/>
  <c r="N24" i="5"/>
  <c r="N25" i="5" s="1"/>
  <c r="H24" i="5"/>
  <c r="H25" i="5" s="1"/>
  <c r="P22" i="3"/>
  <c r="P21" i="3"/>
  <c r="P20" i="3"/>
  <c r="P19" i="3"/>
  <c r="P23" i="3" s="1"/>
  <c r="P24" i="3" s="1"/>
  <c r="P15" i="3"/>
  <c r="P14" i="3"/>
  <c r="P11" i="3"/>
  <c r="P10" i="3"/>
  <c r="P16" i="3" s="1"/>
  <c r="R22" i="3"/>
  <c r="R21" i="3"/>
  <c r="R20" i="3"/>
  <c r="R19" i="3"/>
  <c r="R23" i="3" s="1"/>
  <c r="R24" i="3" s="1"/>
  <c r="R15" i="3"/>
  <c r="R14" i="3"/>
  <c r="R11" i="3"/>
  <c r="R10" i="3"/>
  <c r="R16" i="3" s="1"/>
  <c r="Q23" i="3"/>
  <c r="Q24" i="3" s="1"/>
  <c r="Q16" i="3"/>
  <c r="Q25" i="3" s="1"/>
  <c r="Q26" i="3" s="1"/>
  <c r="O23" i="3"/>
  <c r="O24" i="3" s="1"/>
  <c r="O16" i="3"/>
  <c r="O17" i="3" s="1"/>
  <c r="L22" i="3"/>
  <c r="L19" i="3"/>
  <c r="L23" i="3" s="1"/>
  <c r="L24" i="3" s="1"/>
  <c r="L14" i="3"/>
  <c r="L12" i="3"/>
  <c r="L11" i="3"/>
  <c r="L10" i="3"/>
  <c r="J21" i="3"/>
  <c r="J22" i="3"/>
  <c r="J20" i="3"/>
  <c r="J23" i="3" s="1"/>
  <c r="J24" i="3" s="1"/>
  <c r="J19" i="3"/>
  <c r="J15" i="3"/>
  <c r="J14" i="3"/>
  <c r="J13" i="3"/>
  <c r="J12" i="3"/>
  <c r="J11" i="3"/>
  <c r="J10" i="3"/>
  <c r="J9" i="3"/>
  <c r="J16" i="3" s="1"/>
  <c r="I17" i="3"/>
  <c r="I23" i="3"/>
  <c r="I24" i="3" s="1"/>
  <c r="I16" i="3"/>
  <c r="I25" i="3" s="1"/>
  <c r="I26" i="3" s="1"/>
  <c r="H22" i="3"/>
  <c r="H21" i="3"/>
  <c r="H20" i="3"/>
  <c r="H19" i="3"/>
  <c r="H23" i="3" s="1"/>
  <c r="H24" i="3" s="1"/>
  <c r="H15" i="3"/>
  <c r="H14" i="3"/>
  <c r="H13" i="3"/>
  <c r="H12" i="3"/>
  <c r="H16" i="3" s="1"/>
  <c r="H11" i="3"/>
  <c r="H10" i="3"/>
  <c r="H9" i="3"/>
  <c r="N22" i="3"/>
  <c r="N19" i="3"/>
  <c r="N23" i="3" s="1"/>
  <c r="N24" i="3" s="1"/>
  <c r="N14" i="3"/>
  <c r="N12" i="3"/>
  <c r="N11" i="3"/>
  <c r="N10" i="3"/>
  <c r="K17" i="3"/>
  <c r="K23" i="3"/>
  <c r="K24" i="3" s="1"/>
  <c r="K16" i="3"/>
  <c r="K25" i="3" s="1"/>
  <c r="K26" i="3" s="1"/>
  <c r="K9" i="3"/>
  <c r="L9" i="3" s="1"/>
  <c r="L16" i="3" s="1"/>
  <c r="M9" i="3"/>
  <c r="N9" i="3" s="1"/>
  <c r="N16" i="3" s="1"/>
  <c r="M24" i="3"/>
  <c r="M23" i="3"/>
  <c r="G24" i="3"/>
  <c r="G23" i="3"/>
  <c r="G17" i="3"/>
  <c r="G16" i="3"/>
  <c r="G25" i="3" s="1"/>
  <c r="G26" i="3" s="1"/>
  <c r="L17" i="3" l="1"/>
  <c r="L25" i="3"/>
  <c r="L26" i="3" s="1"/>
  <c r="J25" i="3"/>
  <c r="J26" i="3" s="1"/>
  <c r="J17" i="3"/>
  <c r="R17" i="3"/>
  <c r="R25" i="3"/>
  <c r="R26" i="3" s="1"/>
  <c r="P17" i="3"/>
  <c r="P25" i="3"/>
  <c r="P26" i="3" s="1"/>
  <c r="N25" i="3"/>
  <c r="N26" i="3" s="1"/>
  <c r="N17" i="3"/>
  <c r="H17" i="3"/>
  <c r="H25" i="3"/>
  <c r="H26" i="3" s="1"/>
  <c r="M16" i="3"/>
  <c r="M17" i="3" s="1"/>
  <c r="Q17" i="3"/>
  <c r="O25" i="3"/>
  <c r="O26" i="3" s="1"/>
  <c r="M25" i="3"/>
  <c r="M26" i="3" s="1"/>
  <c r="P8" i="2"/>
  <c r="O8" i="2"/>
  <c r="N8" i="2"/>
  <c r="M8" i="2"/>
  <c r="D9" i="3" l="1"/>
  <c r="D22" i="3"/>
  <c r="D21" i="3"/>
  <c r="D20" i="3"/>
  <c r="D19" i="3"/>
  <c r="D15" i="3"/>
  <c r="D14" i="3"/>
  <c r="D13" i="3"/>
  <c r="D12" i="3"/>
  <c r="D11" i="3"/>
  <c r="D10" i="3"/>
  <c r="D16" i="3" l="1"/>
  <c r="D17" i="3" s="1"/>
  <c r="D23" i="3"/>
  <c r="D24" i="3" s="1"/>
  <c r="D25" i="3"/>
  <c r="D26" i="3" s="1"/>
  <c r="F22" i="3"/>
  <c r="F21" i="3"/>
  <c r="F20" i="3"/>
  <c r="F19" i="3"/>
  <c r="F23" i="3" s="1"/>
  <c r="F24" i="3" s="1"/>
  <c r="F15" i="3"/>
  <c r="F14" i="3"/>
  <c r="F13" i="3"/>
  <c r="F12" i="3"/>
  <c r="F11" i="3"/>
  <c r="F10" i="3"/>
  <c r="F9" i="3"/>
  <c r="F16" i="3" s="1"/>
  <c r="F17" i="3" s="1"/>
  <c r="E24" i="3"/>
  <c r="E23" i="3"/>
  <c r="E16" i="3"/>
  <c r="E25" i="3" s="1"/>
  <c r="E26" i="3" s="1"/>
  <c r="C23" i="3"/>
  <c r="C24" i="3" s="1"/>
  <c r="C16" i="3"/>
  <c r="C17" i="3" s="1"/>
  <c r="E17" i="3" l="1"/>
  <c r="C25" i="3"/>
  <c r="C26" i="3" s="1"/>
  <c r="F25" i="3"/>
  <c r="F26" i="3" s="1"/>
  <c r="O21" i="1" l="1"/>
  <c r="O20" i="1"/>
  <c r="O19" i="1"/>
  <c r="O18" i="1"/>
  <c r="O22" i="1" s="1"/>
  <c r="O23" i="1" s="1"/>
  <c r="O14" i="1"/>
  <c r="O13" i="1"/>
  <c r="O12" i="1"/>
  <c r="O11" i="1"/>
  <c r="O10" i="1"/>
  <c r="O9" i="1"/>
  <c r="O8" i="1"/>
  <c r="O15" i="1" l="1"/>
  <c r="M19" i="1"/>
  <c r="N21" i="1"/>
  <c r="N20" i="1"/>
  <c r="N19" i="1"/>
  <c r="N18" i="1"/>
  <c r="N14" i="1"/>
  <c r="N13" i="1"/>
  <c r="N12" i="1"/>
  <c r="N11" i="1"/>
  <c r="N10" i="1"/>
  <c r="N9" i="1"/>
  <c r="N8" i="1"/>
  <c r="N15" i="1" s="1"/>
  <c r="N16" i="1" l="1"/>
  <c r="N22" i="1"/>
  <c r="N23" i="1" s="1"/>
  <c r="O24" i="1"/>
  <c r="O25" i="1" s="1"/>
  <c r="O16" i="1"/>
  <c r="M21" i="1"/>
  <c r="M20" i="1"/>
  <c r="M18" i="1"/>
  <c r="L21" i="1"/>
  <c r="L18" i="1"/>
  <c r="L22" i="1" s="1"/>
  <c r="L23" i="1" s="1"/>
  <c r="M14" i="1"/>
  <c r="M13" i="1"/>
  <c r="M10" i="1"/>
  <c r="M9" i="1"/>
  <c r="L11" i="1"/>
  <c r="L10" i="1"/>
  <c r="L9" i="1"/>
  <c r="K21" i="1"/>
  <c r="K20" i="1"/>
  <c r="K19" i="1"/>
  <c r="K18" i="1"/>
  <c r="M15" i="1" l="1"/>
  <c r="K22" i="1"/>
  <c r="K23" i="1" s="1"/>
  <c r="L15" i="1"/>
  <c r="N24" i="1"/>
  <c r="N25" i="1" s="1"/>
  <c r="M22" i="1"/>
  <c r="M23" i="1" s="1"/>
  <c r="K14" i="1"/>
  <c r="K13" i="1"/>
  <c r="K12" i="1"/>
  <c r="K11" i="1"/>
  <c r="K10" i="1"/>
  <c r="K9" i="1"/>
  <c r="K8" i="1"/>
  <c r="M24" i="1" l="1"/>
  <c r="M25" i="1" s="1"/>
  <c r="M16" i="1"/>
  <c r="K15" i="1"/>
  <c r="L24" i="1"/>
  <c r="L25" i="1" s="1"/>
  <c r="L16" i="1"/>
  <c r="J21" i="1"/>
  <c r="J20" i="1"/>
  <c r="J19" i="1"/>
  <c r="J18" i="1"/>
  <c r="K24" i="1" l="1"/>
  <c r="K25" i="1" s="1"/>
  <c r="K16" i="1"/>
  <c r="J22" i="1"/>
  <c r="J23" i="1" s="1"/>
  <c r="J14" i="1"/>
  <c r="J13" i="1"/>
  <c r="J10" i="1"/>
  <c r="J9" i="1"/>
  <c r="I21" i="1"/>
  <c r="I18" i="1"/>
  <c r="I22" i="1" s="1"/>
  <c r="I23" i="1" s="1"/>
  <c r="I11" i="1"/>
  <c r="I10" i="1"/>
  <c r="I9" i="1"/>
  <c r="I15" i="1" s="1"/>
  <c r="H21" i="1"/>
  <c r="H20" i="1"/>
  <c r="H19" i="1"/>
  <c r="H18" i="1"/>
  <c r="H22" i="1" s="1"/>
  <c r="H23" i="1" s="1"/>
  <c r="H14" i="1"/>
  <c r="H13" i="1"/>
  <c r="H12" i="1"/>
  <c r="H11" i="1"/>
  <c r="H10" i="1"/>
  <c r="H9" i="1"/>
  <c r="H8" i="1"/>
  <c r="H15" i="1" s="1"/>
  <c r="H24" i="1" s="1"/>
  <c r="H25" i="1" s="1"/>
  <c r="G21" i="1"/>
  <c r="G20" i="1"/>
  <c r="G19" i="1"/>
  <c r="G18" i="1"/>
  <c r="I16" i="1" l="1"/>
  <c r="I24" i="1"/>
  <c r="I25" i="1" s="1"/>
  <c r="G22" i="1"/>
  <c r="G23" i="1" s="1"/>
  <c r="H16" i="1"/>
  <c r="J15" i="1"/>
  <c r="G14" i="1"/>
  <c r="G13" i="1"/>
  <c r="G12" i="1"/>
  <c r="G11" i="1"/>
  <c r="G10" i="1"/>
  <c r="G9" i="1"/>
  <c r="G8" i="1"/>
  <c r="G15" i="1" l="1"/>
  <c r="J16" i="1"/>
  <c r="J24" i="1"/>
  <c r="J25" i="1" s="1"/>
  <c r="F22" i="1"/>
  <c r="F23" i="1" s="1"/>
  <c r="E22" i="1"/>
  <c r="D22" i="1"/>
  <c r="D23" i="1" s="1"/>
  <c r="G24" i="1" l="1"/>
  <c r="G25" i="1" s="1"/>
  <c r="G16" i="1"/>
  <c r="D15" i="1"/>
  <c r="F15" i="1"/>
  <c r="F16" i="1" s="1"/>
  <c r="E15" i="1"/>
  <c r="E16" i="1" s="1"/>
  <c r="D16" i="1" l="1"/>
  <c r="D24" i="1"/>
  <c r="D25" i="1" s="1"/>
  <c r="F24" i="1"/>
  <c r="F25" i="1" s="1"/>
  <c r="E24" i="1"/>
  <c r="E25" i="1" s="1"/>
  <c r="C22" i="1"/>
  <c r="C23" i="1" s="1"/>
  <c r="C15" i="1"/>
  <c r="C16" i="1" s="1"/>
  <c r="C24" i="1" l="1"/>
  <c r="C25" i="1" s="1"/>
  <c r="V24" i="2"/>
  <c r="V22" i="2"/>
  <c r="V21" i="2"/>
  <c r="V20" i="2"/>
  <c r="V19" i="2"/>
  <c r="V18" i="2"/>
  <c r="V16" i="2"/>
  <c r="V15" i="2"/>
  <c r="V14" i="2"/>
  <c r="V13" i="2"/>
  <c r="V10" i="2"/>
  <c r="V9" i="2"/>
  <c r="U25" i="2"/>
  <c r="T25" i="2"/>
  <c r="S25" i="2"/>
  <c r="R25" i="2"/>
  <c r="U23" i="2"/>
  <c r="T23" i="2"/>
  <c r="S23" i="2"/>
  <c r="R23" i="2"/>
  <c r="U16" i="2"/>
  <c r="T16" i="2"/>
  <c r="S16" i="2"/>
  <c r="R16" i="2"/>
  <c r="U24" i="2"/>
  <c r="T24" i="2"/>
  <c r="S24" i="2"/>
  <c r="R24" i="2"/>
  <c r="Q22" i="2"/>
  <c r="U22" i="2"/>
  <c r="T22" i="2"/>
  <c r="S22" i="2"/>
  <c r="R22" i="2"/>
  <c r="U15" i="2"/>
  <c r="T15" i="2"/>
  <c r="S15" i="2"/>
  <c r="R15" i="2"/>
  <c r="Q23" i="2"/>
  <c r="Q21" i="2"/>
  <c r="Q18" i="2"/>
  <c r="Q15" i="2"/>
  <c r="Q24" i="2" s="1"/>
  <c r="Q25" i="2" s="1"/>
  <c r="Q13" i="2"/>
  <c r="Q11" i="2"/>
  <c r="Q10" i="2"/>
  <c r="Q9" i="2"/>
  <c r="Q8" i="2"/>
  <c r="L22" i="2"/>
  <c r="P23" i="2"/>
  <c r="P22" i="2"/>
  <c r="O23" i="2"/>
  <c r="O22" i="2"/>
  <c r="N23" i="2"/>
  <c r="N22" i="2"/>
  <c r="M23" i="2"/>
  <c r="M22" i="2"/>
  <c r="O16" i="2"/>
  <c r="N16" i="2"/>
  <c r="P15" i="2"/>
  <c r="P16" i="2" s="1"/>
  <c r="O15" i="2"/>
  <c r="O24" i="2" s="1"/>
  <c r="O25" i="2" s="1"/>
  <c r="N15" i="2"/>
  <c r="N24" i="2" s="1"/>
  <c r="N25" i="2" s="1"/>
  <c r="M15" i="2"/>
  <c r="M16" i="2" s="1"/>
  <c r="G23" i="2"/>
  <c r="G22" i="2"/>
  <c r="L24" i="2"/>
  <c r="L25" i="2" s="1"/>
  <c r="L23" i="2"/>
  <c r="L21" i="2"/>
  <c r="L20" i="2"/>
  <c r="L19" i="2"/>
  <c r="L18" i="2"/>
  <c r="L16" i="2"/>
  <c r="L15" i="2"/>
  <c r="L14" i="2"/>
  <c r="L13" i="2"/>
  <c r="L12" i="2"/>
  <c r="L11" i="2"/>
  <c r="L10" i="2"/>
  <c r="L9" i="2"/>
  <c r="L8" i="2"/>
  <c r="K23" i="2"/>
  <c r="J23" i="2"/>
  <c r="I23" i="2"/>
  <c r="H23" i="2"/>
  <c r="K25" i="2"/>
  <c r="J25" i="2"/>
  <c r="I25" i="2"/>
  <c r="H25" i="2"/>
  <c r="K24" i="2"/>
  <c r="J24" i="2"/>
  <c r="I24" i="2"/>
  <c r="H24" i="2"/>
  <c r="K22" i="2"/>
  <c r="J22" i="2"/>
  <c r="I22" i="2"/>
  <c r="H22" i="2"/>
  <c r="K16" i="2"/>
  <c r="J16" i="2"/>
  <c r="I16" i="2"/>
  <c r="H16" i="2"/>
  <c r="K15" i="2"/>
  <c r="J15" i="2"/>
  <c r="I15" i="2"/>
  <c r="H15" i="2"/>
  <c r="G21" i="2"/>
  <c r="G20" i="2"/>
  <c r="G19" i="2"/>
  <c r="G18" i="2"/>
  <c r="G14" i="2"/>
  <c r="G13" i="2"/>
  <c r="G12" i="2"/>
  <c r="G11" i="2"/>
  <c r="G10" i="2"/>
  <c r="G9" i="2"/>
  <c r="G8" i="2"/>
  <c r="G15" i="2" s="1"/>
  <c r="F16" i="2"/>
  <c r="F23" i="2"/>
  <c r="E23" i="2"/>
  <c r="D23" i="2"/>
  <c r="C23" i="2"/>
  <c r="F25" i="2"/>
  <c r="F24" i="2"/>
  <c r="F22" i="2"/>
  <c r="E22" i="2"/>
  <c r="F15" i="2"/>
  <c r="E15" i="2"/>
  <c r="E16" i="2" s="1"/>
  <c r="D24" i="2"/>
  <c r="D25" i="2" s="1"/>
  <c r="D22" i="2"/>
  <c r="D15" i="2"/>
  <c r="D16" i="2" s="1"/>
  <c r="C22" i="2"/>
  <c r="C15" i="2"/>
  <c r="C16" i="2" s="1"/>
  <c r="P24" i="2" l="1"/>
  <c r="P25" i="2" s="1"/>
  <c r="Q16" i="2"/>
  <c r="M24" i="2"/>
  <c r="M25" i="2" s="1"/>
  <c r="G24" i="2"/>
  <c r="G25" i="2" s="1"/>
  <c r="G16" i="2"/>
  <c r="C24" i="2"/>
  <c r="C25" i="2" s="1"/>
  <c r="E24" i="2"/>
  <c r="E25" i="2" s="1"/>
</calcChain>
</file>

<file path=xl/sharedStrings.xml><?xml version="1.0" encoding="utf-8"?>
<sst xmlns="http://schemas.openxmlformats.org/spreadsheetml/2006/main" count="1130" uniqueCount="107">
  <si>
    <t>3.1. KLAIPĖDOS IR TAURAGĖS APSKRIČIŲ SAVIVALDYBIŲ VIEŠŲJŲ BIBLIOTEKŲ VARTOTOJŲ TELKIMAS 2019 M.</t>
  </si>
  <si>
    <t>3.5. KLAIPĖDOS IR TAURAGĖS APSKRIČIŲ SAVIVALDYBIŲ VIEŠŲJŲ BIBLIOTEKŲ GROŽINĖS IR ŠAKINĖS LITERATŪROS IŠDUOTIS 2019 M.</t>
  </si>
  <si>
    <t>3.10. NAUDOJIMASIS ELEKTRONINĖMIS PASLAUGOMIS KLAIPĖDOS IR TAURAGĖS APSKRIČIŲ SAVIVALDYBIŲ VIEŠOSIOSE BIBLIOTEKOSE 2019 M.</t>
  </si>
  <si>
    <t>Eil. Nr.</t>
  </si>
  <si>
    <t>Savivaldybių viešosios bibliotekos</t>
  </si>
  <si>
    <t>Gyventojų sutelkimo procentas</t>
  </si>
  <si>
    <t>Iš viso SVB</t>
  </si>
  <si>
    <t>VB</t>
  </si>
  <si>
    <t>MF</t>
  </si>
  <si>
    <t>KF</t>
  </si>
  <si>
    <t>SVB</t>
  </si>
  <si>
    <t>I. Klaipėdos apskritis</t>
  </si>
  <si>
    <t>1.</t>
  </si>
  <si>
    <t>Klaipėdos m.</t>
  </si>
  <si>
    <t>0*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</si>
  <si>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</si>
  <si>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</si>
  <si>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</si>
  <si>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</si>
  <si>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</si>
  <si>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</si>
  <si>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</si>
  <si>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</si>
  <si>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</si>
  <si>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</si>
  <si>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</si>
  <si>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</si>
  <si>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</si>
  <si>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</si>
  <si>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</si>
  <si>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</si>
  <si>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</si>
  <si>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</si>
  <si>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</si>
  <si>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Iš viso:</t>
  </si>
  <si>
    <t>Vidutiniškai vienoje bibliotekoje Klaipėdos ir Tauragės apskrityse:</t>
  </si>
  <si>
    <t>Vidutiniškai vienoje bibliotekoje:</t>
  </si>
  <si>
    <t>Vartotojų sk. vienam gyventojui</t>
  </si>
  <si>
    <t>Biblioteki-ninkų sk. 1000 vartotojų</t>
  </si>
  <si>
    <t>Vidut. gyvent. sk. vienai bibliotekai</t>
  </si>
  <si>
    <t>Skirtu-mas</t>
  </si>
  <si>
    <t>Iš viso</t>
  </si>
  <si>
    <t>Perreg.</t>
  </si>
  <si>
    <t>Nauji</t>
  </si>
  <si>
    <t>SVB tinklo bibliotekose 2019 m.</t>
  </si>
  <si>
    <t>2018 m.</t>
  </si>
  <si>
    <t>VB 2019 m.</t>
  </si>
  <si>
    <t>Miesto fil. 2019 m.</t>
  </si>
  <si>
    <t>Kaimo fil. 2019 m.</t>
  </si>
  <si>
    <t>* VB ir MF veikia vienoje teritorijoje</t>
  </si>
  <si>
    <t>Nuolatinis gyventojų skaičius metų pradžioje pagal amžiaus grupes apskrityse ir savivaldybėse 2019 m. Lietuvos statistikos departamentas.</t>
  </si>
  <si>
    <t>3.2. KLAIPĖDOS IR TAURAGĖS APSKRIČIŲ SAVIVALDYBIŲ VIEŠŲJŲ BIBLIOTEKŲ VARTOTOJŲ SKAIČIUS 2018-2019 M.</t>
  </si>
  <si>
    <t>Gyventojų skaičius bibliotekų aptarnaujamose teritorijose</t>
  </si>
  <si>
    <t>skaičius</t>
  </si>
  <si>
    <t>%</t>
  </si>
  <si>
    <t>2019 m.</t>
  </si>
  <si>
    <t>skirtumas</t>
  </si>
  <si>
    <t>Miesto fil.</t>
  </si>
  <si>
    <t>Kaimo fil.</t>
  </si>
  <si>
    <t>3.2.1. KLAIPĖDOS IR TAURAGĖS APSKRIČIŲ SAVIVALDYBIŲ VIEŠŲJŲ BIBLIOTEKŲ VARTOTOJŲ VAIKŲ SKAIČIUS 2018-2019 M.</t>
  </si>
  <si>
    <t xml:space="preserve">Gyventojų sutelkimo procentas: bibliotekų vartotojų sk./ gyventojų sk. bibliotekų aptarnaujamose teritorijose ir * 100 </t>
  </si>
  <si>
    <t>SVB tinklo bibliotekose</t>
  </si>
  <si>
    <t>Apsilankymų (fizinių) sk. vienam gyventojui</t>
  </si>
  <si>
    <t>Skirtumas</t>
  </si>
  <si>
    <t>Gyventojai (Statistikos departamento duomenys 2019 m. pradžia)</t>
  </si>
  <si>
    <t>3.3. KLAIPĖDOS IR TAURAGĖS APSKRIČIŲ SAVIVALDYBIŲ VIEŠŲJŲ BIBLIOTEKŲ LANKYTOJŲ SKAIČIUS 2018-2019 M.</t>
  </si>
  <si>
    <t>Lankytojų sk.     2019 m.</t>
  </si>
  <si>
    <t xml:space="preserve">    2019 m.</t>
  </si>
  <si>
    <t>3.3.1. KLAIPĖDOS IR TAURAGĖS APSKRIČIŲ SAVIVALDYBIŲ VIEŠŲJŲ BIBLIOTEKŲ LANKYTOJŲ VAIKŲ SKAIČIUS 2018-2019 M.</t>
  </si>
  <si>
    <t>Fiz. vnt.</t>
  </si>
  <si>
    <t>Grožinės literatūros išduotis</t>
  </si>
  <si>
    <t>Šakinės literatūros išduotis</t>
  </si>
  <si>
    <t>Periodinių leidinių išduotis</t>
  </si>
  <si>
    <t xml:space="preserve">3.6. KLAIPĖDOS IR TAURAGĖS APSKRIČIŲ SAVIVALDYBIŲ VIEŠŲJŲ BIBLIOTEKŲ </t>
  </si>
  <si>
    <t>PERIODINIŲ LEIDINIŲ IŠDUOTIS 2019 M.</t>
  </si>
  <si>
    <t>Išduota dokumentų į namus</t>
  </si>
  <si>
    <t>Išduota dokumentų vietoje</t>
  </si>
  <si>
    <t xml:space="preserve">3.7. KLAIPĖDOS IR TAURAGĖS APSKRIČIŲ SAVIVALDYBIŲ VIEŠŲJŲ BIBLIOTEKŲ </t>
  </si>
  <si>
    <t>DOKUMENTŲ IŠDUOTIS VIETOJE IR Į NAMUS 2019 M.</t>
  </si>
  <si>
    <t xml:space="preserve">3.8. SKAITOMUMAS IR LANKOMUMAS </t>
  </si>
  <si>
    <t>KLAIPĖDOS IR TAURAGĖS APSKRIČIŲ SAVIVALDYBIŲ VIEŠOSIOSE BIBLIOTEKOSE 2019 M.</t>
  </si>
  <si>
    <t>Skaitomumas</t>
  </si>
  <si>
    <t>Lankomumas</t>
  </si>
  <si>
    <t xml:space="preserve">3.9. VAIKŲ SKAITOMUMAS IR LANKOMUMAS </t>
  </si>
  <si>
    <t>Interneto seansų skaičius</t>
  </si>
  <si>
    <t>Atsisiųstųjų įrašų skaičius</t>
  </si>
  <si>
    <t>Virtualių apsilankymų skaičius</t>
  </si>
  <si>
    <t>Nusiųstųjų dokumentų skaičius</t>
  </si>
  <si>
    <t>3.4. KLAIPĖDOS IR TAURAGĖS APSKRIČIŲ SAVIVALDYBIŲ VIEŠŲJŲ BIBLIOTEKŲ DOKUMENTŲ IŠDUOTIS (FIZ.VNT.) 2018-2019 M.</t>
  </si>
  <si>
    <t xml:space="preserve">* Grožinės ir šakinės literatūros procentas skaičiuojamas nuo visų leidinių išduoties. </t>
  </si>
  <si>
    <t xml:space="preserve">3.10. VARTOTOJAMS SKIRTOS DARBO VIETOS (DV) IR KOMPIUTERIZUOTOS DARBO VIETOS (KDV) </t>
  </si>
  <si>
    <t>Iš jų:</t>
  </si>
  <si>
    <t>KDV vartotojams iš viso:</t>
  </si>
  <si>
    <t xml:space="preserve">DV skaityklose </t>
  </si>
  <si>
    <t>Prijung-tos prie tinklo</t>
  </si>
  <si>
    <t>Prijung-tos prie interneto</t>
  </si>
  <si>
    <t>KDV pokytis lyginant su 2018 m.</t>
  </si>
  <si>
    <t>Gauta užklausų</t>
  </si>
  <si>
    <t>Užklausų skaičius vienai bibliotekai</t>
  </si>
  <si>
    <t>Įvykdyta užklausų</t>
  </si>
  <si>
    <t>Užklausų skaičiaus vienai bibliotekai pokytis, lyginant su 2018 m.</t>
  </si>
  <si>
    <t>3.11. INFORMACINĖS UŽKLAUSOS KLAIPĖDOS IR TAURAGĖS APSKRIČIŲ SAVIVALDYBIŲ VIEŠOSIOSE BIBLIOTEKOSE 2019 M.</t>
  </si>
  <si>
    <t>3.12. RENGINIŲ SKAIČIUS KLAIPĖDOS IR TAURAGĖS APSKRIČIŲ SAVIVALDYBIŲ VIEŠOSIOSE BIBLIOTEKOSE 2019 M.</t>
  </si>
  <si>
    <t>Renginių iš viso:</t>
  </si>
  <si>
    <t>Tenka renginių vienai bibliotekai</t>
  </si>
  <si>
    <t>Iš jų parodos</t>
  </si>
  <si>
    <t>Renginių skaičiaus vienai bibliotekai pokytis, lyginant su 2018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</si>
</sst>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sz val="11"/>
      <color rgb="FF000000"/>
      <name val="Calibri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2"/>
      <name val="Calibri"/>
      <family val="2"/>
      <charset val="186"/>
    </font>
    <font>
      <sz val="12"/>
      <name val="Calibri"/>
      <family val="2"/>
      <charset val="186"/>
    </font>
    <font>
      <sz val="12"/>
      <color theme="1"/>
      <name val="Calibri"/>
      <family val="2"/>
      <charset val="186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00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81">
    <xf numFmtId="0" fontId="0" fillId="0" borderId="0" xfId="0"/>
    <xf numFmtId="0" fontId="4" fillId="3" borderId="1" xfId="2" applyFont="1" applyFill="1" applyBorder="1" applyAlignment="1">
      <alignment horizontal="center" vertical="center" wrapText="1"/>
    </xf>
    <xf numFmtId="0" fontId="4" fillId="3" borderId="11" xfId="2" applyFont="1" applyFill="1" applyBorder="1" applyAlignment="1">
      <alignment horizontal="center" vertical="center" wrapText="1"/>
    </xf>
    <xf numFmtId="0" fontId="6" fillId="6" borderId="5" xfId="1" applyFont="1" applyFill="1" applyBorder="1" applyAlignment="1">
      <alignment horizontal="center" wrapText="1"/>
    </xf>
    <xf numFmtId="0" fontId="6" fillId="6" borderId="5" xfId="1" applyFont="1" applyFill="1" applyBorder="1" applyAlignment="1">
      <alignment vertical="center" wrapText="1"/>
    </xf>
    <xf numFmtId="0" fontId="7" fillId="6" borderId="5" xfId="1" applyFont="1" applyFill="1" applyBorder="1" applyAlignment="1">
      <alignment horizontal="center" wrapText="1"/>
    </xf>
    <xf numFmtId="0" fontId="7" fillId="6" borderId="5" xfId="0" applyFont="1" applyFill="1" applyBorder="1" applyAlignment="1">
      <alignment horizontal="center"/>
    </xf>
    <xf numFmtId="1" fontId="7" fillId="6" borderId="5" xfId="0" applyNumberFormat="1" applyFont="1" applyFill="1" applyBorder="1" applyAlignment="1">
      <alignment horizontal="center"/>
    </xf>
    <xf numFmtId="2" fontId="7" fillId="6" borderId="5" xfId="0" applyNumberFormat="1" applyFont="1" applyFill="1" applyBorder="1" applyAlignment="1">
      <alignment horizontal="center"/>
    </xf>
    <xf numFmtId="164" fontId="7" fillId="6" borderId="5" xfId="0" applyNumberFormat="1" applyFont="1" applyFill="1" applyBorder="1" applyAlignment="1">
      <alignment horizontal="center"/>
    </xf>
    <xf numFmtId="0" fontId="7" fillId="6" borderId="5" xfId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/>
    </xf>
    <xf numFmtId="1" fontId="7" fillId="6" borderId="5" xfId="0" applyNumberFormat="1" applyFont="1" applyFill="1" applyBorder="1" applyAlignment="1">
      <alignment horizontal="center" vertical="center"/>
    </xf>
    <xf numFmtId="2" fontId="7" fillId="6" borderId="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0" fontId="7" fillId="7" borderId="5" xfId="1" applyFont="1" applyFill="1" applyBorder="1" applyAlignment="1">
      <alignment horizontal="center" wrapText="1"/>
    </xf>
    <xf numFmtId="0" fontId="7" fillId="7" borderId="5" xfId="0" applyFont="1" applyFill="1" applyBorder="1" applyAlignment="1">
      <alignment horizontal="center"/>
    </xf>
    <xf numFmtId="1" fontId="7" fillId="7" borderId="5" xfId="0" applyNumberFormat="1" applyFont="1" applyFill="1" applyBorder="1" applyAlignment="1">
      <alignment horizontal="center"/>
    </xf>
    <xf numFmtId="2" fontId="7" fillId="7" borderId="5" xfId="0" applyNumberFormat="1" applyFont="1" applyFill="1" applyBorder="1" applyAlignment="1">
      <alignment horizontal="center"/>
    </xf>
    <xf numFmtId="164" fontId="7" fillId="7" borderId="5" xfId="0" applyNumberFormat="1" applyFont="1" applyFill="1" applyBorder="1" applyAlignment="1">
      <alignment horizontal="center"/>
    </xf>
    <xf numFmtId="0" fontId="7" fillId="7" borderId="5" xfId="1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1" fontId="7" fillId="7" borderId="5" xfId="0" applyNumberFormat="1" applyFont="1" applyFill="1" applyBorder="1" applyAlignment="1">
      <alignment horizontal="center" vertical="center"/>
    </xf>
    <xf numFmtId="2" fontId="7" fillId="7" borderId="5" xfId="0" applyNumberFormat="1" applyFont="1" applyFill="1" applyBorder="1" applyAlignment="1">
      <alignment horizontal="center" vertical="center"/>
    </xf>
    <xf numFmtId="164" fontId="7" fillId="7" borderId="5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2" fontId="5" fillId="5" borderId="5" xfId="0" applyNumberFormat="1" applyFont="1" applyFill="1" applyBorder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6" borderId="5" xfId="0" applyFont="1" applyFill="1" applyBorder="1" applyAlignment="1">
      <alignment horizontal="center" vertical="top"/>
    </xf>
    <xf numFmtId="0" fontId="6" fillId="7" borderId="5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1" fontId="9" fillId="5" borderId="5" xfId="0" applyNumberFormat="1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center"/>
    </xf>
    <xf numFmtId="0" fontId="4" fillId="3" borderId="6" xfId="2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 wrapText="1"/>
    </xf>
    <xf numFmtId="1" fontId="7" fillId="7" borderId="5" xfId="1" applyNumberFormat="1" applyFont="1" applyFill="1" applyBorder="1" applyAlignment="1">
      <alignment horizontal="center" vertical="center" wrapText="1"/>
    </xf>
    <xf numFmtId="1" fontId="7" fillId="7" borderId="5" xfId="1" applyNumberFormat="1" applyFont="1" applyFill="1" applyBorder="1" applyAlignment="1">
      <alignment horizontal="center" wrapText="1"/>
    </xf>
    <xf numFmtId="0" fontId="10" fillId="0" borderId="0" xfId="0" applyFont="1" applyAlignment="1">
      <alignment horizontal="left" vertical="center"/>
    </xf>
    <xf numFmtId="164" fontId="6" fillId="7" borderId="5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6" fillId="6" borderId="5" xfId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6" borderId="5" xfId="1" applyFont="1" applyFill="1" applyBorder="1" applyAlignment="1">
      <alignment horizontal="left" vertical="center" wrapText="1"/>
    </xf>
    <xf numFmtId="0" fontId="4" fillId="3" borderId="21" xfId="2" applyFont="1" applyFill="1" applyBorder="1" applyAlignment="1">
      <alignment horizontal="center" vertical="center" wrapText="1"/>
    </xf>
    <xf numFmtId="1" fontId="7" fillId="6" borderId="12" xfId="0" applyNumberFormat="1" applyFont="1" applyFill="1" applyBorder="1" applyAlignment="1">
      <alignment horizontal="center" vertical="center"/>
    </xf>
    <xf numFmtId="1" fontId="7" fillId="7" borderId="12" xfId="0" applyNumberFormat="1" applyFont="1" applyFill="1" applyBorder="1" applyAlignment="1">
      <alignment horizontal="center" vertical="center"/>
    </xf>
    <xf numFmtId="1" fontId="5" fillId="5" borderId="12" xfId="0" applyNumberFormat="1" applyFont="1" applyFill="1" applyBorder="1" applyAlignment="1">
      <alignment horizontal="center" vertical="center"/>
    </xf>
    <xf numFmtId="164" fontId="7" fillId="6" borderId="5" xfId="1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/>
    </xf>
    <xf numFmtId="1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" fontId="11" fillId="7" borderId="5" xfId="0" applyNumberFormat="1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7" borderId="5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64" fontId="12" fillId="5" borderId="5" xfId="0" applyNumberFormat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4" borderId="5" xfId="0" applyFont="1" applyFill="1" applyBorder="1"/>
    <xf numFmtId="0" fontId="11" fillId="6" borderId="26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2" fillId="0" borderId="0" xfId="0" applyFont="1" applyAlignment="1"/>
    <xf numFmtId="0" fontId="5" fillId="4" borderId="5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5" fillId="4" borderId="14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11" fillId="0" borderId="0" xfId="0" applyFont="1"/>
    <xf numFmtId="0" fontId="0" fillId="0" borderId="0" xfId="0" applyAlignment="1"/>
    <xf numFmtId="0" fontId="4" fillId="3" borderId="23" xfId="2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/>
    <xf numFmtId="2" fontId="6" fillId="7" borderId="5" xfId="0" applyNumberFormat="1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2" fontId="9" fillId="5" borderId="5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164" fontId="11" fillId="6" borderId="5" xfId="0" applyNumberFormat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1" fontId="11" fillId="6" borderId="26" xfId="0" applyNumberFormat="1" applyFont="1" applyFill="1" applyBorder="1" applyAlignment="1">
      <alignment horizontal="center" vertical="center"/>
    </xf>
    <xf numFmtId="1" fontId="11" fillId="0" borderId="26" xfId="0" applyNumberFormat="1" applyFont="1" applyBorder="1" applyAlignment="1">
      <alignment horizontal="center" vertical="center"/>
    </xf>
    <xf numFmtId="1" fontId="11" fillId="8" borderId="26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164" fontId="15" fillId="6" borderId="5" xfId="0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" fontId="6" fillId="6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center" vertical="center" wrapText="1"/>
    </xf>
    <xf numFmtId="0" fontId="8" fillId="5" borderId="12" xfId="1" applyFont="1" applyFill="1" applyBorder="1" applyAlignment="1">
      <alignment horizontal="right" vertical="center" wrapText="1"/>
    </xf>
    <xf numFmtId="0" fontId="8" fillId="5" borderId="13" xfId="1" applyFont="1" applyFill="1" applyBorder="1" applyAlignment="1">
      <alignment horizontal="right" vertical="center" wrapText="1"/>
    </xf>
    <xf numFmtId="0" fontId="6" fillId="7" borderId="12" xfId="1" applyFont="1" applyFill="1" applyBorder="1" applyAlignment="1">
      <alignment horizontal="right" wrapText="1"/>
    </xf>
    <xf numFmtId="0" fontId="6" fillId="7" borderId="13" xfId="1" applyFont="1" applyFill="1" applyBorder="1" applyAlignment="1">
      <alignment horizontal="right" wrapText="1"/>
    </xf>
    <xf numFmtId="0" fontId="6" fillId="7" borderId="12" xfId="1" applyFont="1" applyFill="1" applyBorder="1" applyAlignment="1">
      <alignment horizontal="right" vertical="center"/>
    </xf>
    <xf numFmtId="0" fontId="6" fillId="7" borderId="13" xfId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/>
    </xf>
    <xf numFmtId="0" fontId="4" fillId="3" borderId="5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right"/>
    </xf>
    <xf numFmtId="0" fontId="8" fillId="4" borderId="5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/>
    <xf numFmtId="0" fontId="12" fillId="0" borderId="0" xfId="0" applyFont="1" applyAlignment="1">
      <alignment horizontal="center"/>
    </xf>
    <xf numFmtId="0" fontId="6" fillId="7" borderId="12" xfId="1" applyFont="1" applyFill="1" applyBorder="1" applyAlignment="1">
      <alignment horizontal="right" vertical="center" wrapText="1"/>
    </xf>
    <xf numFmtId="0" fontId="6" fillId="7" borderId="13" xfId="1" applyFont="1" applyFill="1" applyBorder="1" applyAlignment="1">
      <alignment horizontal="right" vertical="center" wrapText="1"/>
    </xf>
    <xf numFmtId="0" fontId="4" fillId="3" borderId="12" xfId="2" applyFont="1" applyFill="1" applyBorder="1" applyAlignment="1">
      <alignment horizontal="center" vertical="center" wrapText="1"/>
    </xf>
    <xf numFmtId="0" fontId="4" fillId="3" borderId="14" xfId="2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4" fillId="3" borderId="24" xfId="2" applyFont="1" applyFill="1" applyBorder="1" applyAlignment="1">
      <alignment horizontal="center" vertical="center" wrapText="1"/>
    </xf>
    <xf numFmtId="0" fontId="4" fillId="3" borderId="21" xfId="2" applyFont="1" applyFill="1" applyBorder="1" applyAlignment="1">
      <alignment horizontal="center"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 wrapText="1"/>
    </xf>
    <xf numFmtId="0" fontId="4" fillId="3" borderId="16" xfId="2" applyFont="1" applyFill="1" applyBorder="1" applyAlignment="1">
      <alignment horizontal="center" vertical="center" wrapText="1"/>
    </xf>
    <xf numFmtId="0" fontId="4" fillId="3" borderId="17" xfId="2" applyFont="1" applyFill="1" applyBorder="1" applyAlignment="1">
      <alignment horizontal="center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4" fillId="3" borderId="20" xfId="2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4" fillId="3" borderId="13" xfId="2" applyFont="1" applyFill="1" applyBorder="1" applyAlignment="1">
      <alignment horizontal="center" vertical="center" wrapText="1"/>
    </xf>
    <xf numFmtId="1" fontId="8" fillId="5" borderId="12" xfId="1" applyNumberFormat="1" applyFont="1" applyFill="1" applyBorder="1" applyAlignment="1">
      <alignment horizontal="right" vertical="center" wrapText="1"/>
    </xf>
    <xf numFmtId="1" fontId="8" fillId="5" borderId="13" xfId="1" applyNumberFormat="1" applyFont="1" applyFill="1" applyBorder="1" applyAlignment="1">
      <alignment horizontal="right" vertical="center" wrapText="1"/>
    </xf>
    <xf numFmtId="1" fontId="6" fillId="7" borderId="12" xfId="1" applyNumberFormat="1" applyFont="1" applyFill="1" applyBorder="1" applyAlignment="1">
      <alignment horizontal="right" vertical="center"/>
    </xf>
    <xf numFmtId="1" fontId="6" fillId="7" borderId="13" xfId="1" applyNumberFormat="1" applyFont="1" applyFill="1" applyBorder="1" applyAlignment="1">
      <alignment horizontal="right" vertical="center"/>
    </xf>
    <xf numFmtId="1" fontId="6" fillId="7" borderId="12" xfId="1" applyNumberFormat="1" applyFont="1" applyFill="1" applyBorder="1" applyAlignment="1">
      <alignment horizontal="right" wrapText="1"/>
    </xf>
    <xf numFmtId="1" fontId="6" fillId="7" borderId="13" xfId="1" applyNumberFormat="1" applyFont="1" applyFill="1" applyBorder="1" applyAlignment="1">
      <alignment horizontal="right" wrapText="1"/>
    </xf>
    <xf numFmtId="0" fontId="12" fillId="0" borderId="0" xfId="0" applyFont="1" applyAlignment="1">
      <alignment horizontal="center" vertical="center"/>
    </xf>
    <xf numFmtId="0" fontId="4" fillId="3" borderId="27" xfId="2" applyFont="1" applyFill="1" applyBorder="1" applyAlignment="1">
      <alignment horizontal="center" vertical="center" wrapText="1"/>
    </xf>
    <xf numFmtId="0" fontId="4" fillId="3" borderId="25" xfId="2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/>
    </xf>
    <xf numFmtId="0" fontId="5" fillId="4" borderId="16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left" vertical="center"/>
    </xf>
    <xf numFmtId="1" fontId="6" fillId="7" borderId="5" xfId="1" applyNumberFormat="1" applyFont="1" applyFill="1" applyBorder="1" applyAlignment="1">
      <alignment horizontal="right" wrapText="1"/>
    </xf>
    <xf numFmtId="0" fontId="5" fillId="4" borderId="5" xfId="0" applyFont="1" applyFill="1" applyBorder="1" applyAlignment="1">
      <alignment horizontal="left" vertical="center"/>
    </xf>
    <xf numFmtId="0" fontId="6" fillId="7" borderId="5" xfId="1" applyFont="1" applyFill="1" applyBorder="1" applyAlignment="1">
      <alignment horizontal="right" vertical="center"/>
    </xf>
    <xf numFmtId="0" fontId="8" fillId="5" borderId="5" xfId="1" applyFont="1" applyFill="1" applyBorder="1" applyAlignment="1">
      <alignment horizontal="right" vertical="center" wrapText="1"/>
    </xf>
    <xf numFmtId="0" fontId="6" fillId="7" borderId="5" xfId="1" applyFont="1" applyFill="1" applyBorder="1" applyAlignment="1">
      <alignment horizontal="right" wrapText="1"/>
    </xf>
    <xf numFmtId="0" fontId="7" fillId="4" borderId="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29</xdr:row>
      <xdr:rowOff>180975</xdr:rowOff>
    </xdr:from>
    <xdr:to>
      <xdr:col>8</xdr:col>
      <xdr:colOff>148315</xdr:colOff>
      <xdr:row>47</xdr:row>
      <xdr:rowOff>0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99" y="6467475"/>
          <a:ext cx="5568041" cy="3248025"/>
        </a:xfrm>
        <a:prstGeom prst="rect">
          <a:avLst/>
        </a:prstGeom>
      </xdr:spPr>
    </xdr:pic>
    <xdr:clientData/>
  </xdr:twoCellAnchor>
  <xdr:twoCellAnchor editAs="oneCell">
    <xdr:from>
      <xdr:col>8</xdr:col>
      <xdr:colOff>224518</xdr:colOff>
      <xdr:row>29</xdr:row>
      <xdr:rowOff>180975</xdr:rowOff>
    </xdr:from>
    <xdr:to>
      <xdr:col>17</xdr:col>
      <xdr:colOff>476250</xdr:colOff>
      <xdr:row>47</xdr:row>
      <xdr:rowOff>4763</xdr:rowOff>
    </xdr:to>
    <xdr:pic>
      <xdr:nvPicPr>
        <xdr:cNvPr id="6" name="Paveikslėlis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82343" y="6467475"/>
          <a:ext cx="5576207" cy="32527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514350</xdr:colOff>
      <xdr:row>25</xdr:row>
      <xdr:rowOff>161924</xdr:rowOff>
    </xdr:from>
    <xdr:to>
      <xdr:col>18</xdr:col>
      <xdr:colOff>9525</xdr:colOff>
      <xdr:row>42</xdr:row>
      <xdr:rowOff>5571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5562599"/>
          <a:ext cx="5600700" cy="3082147"/>
        </a:xfrm>
        <a:prstGeom prst="rect">
          <a:avLst/>
        </a:prstGeom>
      </xdr:spPr>
    </xdr:pic>
    <xdr:clientData/>
  </xdr:twoCellAnchor>
  <xdr:twoCellAnchor editAs="oneCell">
    <xdr:from>
      <xdr:col>18</xdr:col>
      <xdr:colOff>76200</xdr:colOff>
      <xdr:row>25</xdr:row>
      <xdr:rowOff>161926</xdr:rowOff>
    </xdr:from>
    <xdr:to>
      <xdr:col>27</xdr:col>
      <xdr:colOff>76966</xdr:colOff>
      <xdr:row>42</xdr:row>
      <xdr:rowOff>2035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58525" y="5562601"/>
          <a:ext cx="5277616" cy="3078609"/>
        </a:xfrm>
        <a:prstGeom prst="rect">
          <a:avLst/>
        </a:prstGeom>
      </xdr:spPr>
    </xdr:pic>
    <xdr:clientData/>
  </xdr:twoCellAnchor>
  <xdr:twoCellAnchor editAs="oneCell">
    <xdr:from>
      <xdr:col>0</xdr:col>
      <xdr:colOff>31296</xdr:colOff>
      <xdr:row>25</xdr:row>
      <xdr:rowOff>171451</xdr:rowOff>
    </xdr:from>
    <xdr:to>
      <xdr:col>7</xdr:col>
      <xdr:colOff>447675</xdr:colOff>
      <xdr:row>42</xdr:row>
      <xdr:rowOff>20639</xdr:rowOff>
    </xdr:to>
    <xdr:pic>
      <xdr:nvPicPr>
        <xdr:cNvPr id="6" name="Paveikslėlis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296" y="5572126"/>
          <a:ext cx="5293179" cy="30876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27</xdr:row>
      <xdr:rowOff>3176</xdr:rowOff>
    </xdr:from>
    <xdr:to>
      <xdr:col>7</xdr:col>
      <xdr:colOff>436788</xdr:colOff>
      <xdr:row>43</xdr:row>
      <xdr:rowOff>171450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651501"/>
          <a:ext cx="5513613" cy="3216274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26</xdr:row>
      <xdr:rowOff>196849</xdr:rowOff>
    </xdr:from>
    <xdr:to>
      <xdr:col>17</xdr:col>
      <xdr:colOff>190498</xdr:colOff>
      <xdr:row>43</xdr:row>
      <xdr:rowOff>171449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9749" y="5645149"/>
          <a:ext cx="5524499" cy="3222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25</xdr:row>
      <xdr:rowOff>180975</xdr:rowOff>
    </xdr:from>
    <xdr:to>
      <xdr:col>5</xdr:col>
      <xdr:colOff>119741</xdr:colOff>
      <xdr:row>44</xdr:row>
      <xdr:rowOff>9525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6019800"/>
          <a:ext cx="5910942" cy="3448050"/>
        </a:xfrm>
        <a:prstGeom prst="rect">
          <a:avLst/>
        </a:prstGeom>
      </xdr:spPr>
    </xdr:pic>
    <xdr:clientData/>
  </xdr:twoCellAnchor>
  <xdr:twoCellAnchor editAs="oneCell">
    <xdr:from>
      <xdr:col>5</xdr:col>
      <xdr:colOff>205467</xdr:colOff>
      <xdr:row>25</xdr:row>
      <xdr:rowOff>180975</xdr:rowOff>
    </xdr:from>
    <xdr:to>
      <xdr:col>15</xdr:col>
      <xdr:colOff>104775</xdr:colOff>
      <xdr:row>44</xdr:row>
      <xdr:rowOff>8732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25242" y="5781675"/>
          <a:ext cx="5909583" cy="3447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25</xdr:row>
      <xdr:rowOff>170657</xdr:rowOff>
    </xdr:from>
    <xdr:to>
      <xdr:col>6</xdr:col>
      <xdr:colOff>194579</xdr:colOff>
      <xdr:row>41</xdr:row>
      <xdr:rowOff>47625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99" y="5237957"/>
          <a:ext cx="5014230" cy="2924968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257174</xdr:colOff>
      <xdr:row>25</xdr:row>
      <xdr:rowOff>167481</xdr:rowOff>
    </xdr:from>
    <xdr:to>
      <xdr:col>14</xdr:col>
      <xdr:colOff>190498</xdr:colOff>
      <xdr:row>41</xdr:row>
      <xdr:rowOff>47625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14924" y="5234781"/>
          <a:ext cx="5019674" cy="292814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303439</xdr:colOff>
      <xdr:row>24</xdr:row>
      <xdr:rowOff>180975</xdr:rowOff>
    </xdr:from>
    <xdr:to>
      <xdr:col>16</xdr:col>
      <xdr:colOff>236765</xdr:colOff>
      <xdr:row>41</xdr:row>
      <xdr:rowOff>104776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4589" y="5591175"/>
          <a:ext cx="5600701" cy="326707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181769</xdr:rowOff>
    </xdr:from>
    <xdr:to>
      <xdr:col>7</xdr:col>
      <xdr:colOff>219076</xdr:colOff>
      <xdr:row>41</xdr:row>
      <xdr:rowOff>100013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5591969"/>
          <a:ext cx="5591176" cy="326151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41</xdr:row>
      <xdr:rowOff>171450</xdr:rowOff>
    </xdr:from>
    <xdr:to>
      <xdr:col>7</xdr:col>
      <xdr:colOff>228600</xdr:colOff>
      <xdr:row>65</xdr:row>
      <xdr:rowOff>130572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" y="8924925"/>
          <a:ext cx="5600700" cy="453112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27</xdr:row>
      <xdr:rowOff>66676</xdr:rowOff>
    </xdr:from>
    <xdr:to>
      <xdr:col>8</xdr:col>
      <xdr:colOff>533400</xdr:colOff>
      <xdr:row>46</xdr:row>
      <xdr:rowOff>8732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6019801"/>
          <a:ext cx="6105525" cy="356155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28</xdr:row>
      <xdr:rowOff>0</xdr:rowOff>
    </xdr:from>
    <xdr:to>
      <xdr:col>8</xdr:col>
      <xdr:colOff>523875</xdr:colOff>
      <xdr:row>46</xdr:row>
      <xdr:rowOff>177007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5981700"/>
          <a:ext cx="6181725" cy="360600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25</xdr:row>
      <xdr:rowOff>171450</xdr:rowOff>
    </xdr:from>
    <xdr:to>
      <xdr:col>6</xdr:col>
      <xdr:colOff>800100</xdr:colOff>
      <xdr:row>42</xdr:row>
      <xdr:rowOff>177800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5781675"/>
          <a:ext cx="5562599" cy="32448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481692</xdr:colOff>
      <xdr:row>26</xdr:row>
      <xdr:rowOff>3175</xdr:rowOff>
    </xdr:from>
    <xdr:to>
      <xdr:col>17</xdr:col>
      <xdr:colOff>457200</xdr:colOff>
      <xdr:row>43</xdr:row>
      <xdr:rowOff>189707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77617" y="5775325"/>
          <a:ext cx="5871483" cy="342503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</xdr:colOff>
      <xdr:row>25</xdr:row>
      <xdr:rowOff>190499</xdr:rowOff>
    </xdr:from>
    <xdr:to>
      <xdr:col>7</xdr:col>
      <xdr:colOff>410936</xdr:colOff>
      <xdr:row>44</xdr:row>
      <xdr:rowOff>0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" y="5772149"/>
          <a:ext cx="5878287" cy="342900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138793</xdr:colOff>
      <xdr:row>25</xdr:row>
      <xdr:rowOff>171450</xdr:rowOff>
    </xdr:from>
    <xdr:to>
      <xdr:col>16</xdr:col>
      <xdr:colOff>276225</xdr:colOff>
      <xdr:row>42</xdr:row>
      <xdr:rowOff>185738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01393" y="5734050"/>
          <a:ext cx="5576207" cy="325278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25</xdr:row>
      <xdr:rowOff>171450</xdr:rowOff>
    </xdr:from>
    <xdr:to>
      <xdr:col>7</xdr:col>
      <xdr:colOff>0</xdr:colOff>
      <xdr:row>43</xdr:row>
      <xdr:rowOff>3970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5734050"/>
          <a:ext cx="5591175" cy="326152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26</xdr:row>
      <xdr:rowOff>184945</xdr:rowOff>
    </xdr:from>
    <xdr:to>
      <xdr:col>15</xdr:col>
      <xdr:colOff>255813</xdr:colOff>
      <xdr:row>44</xdr:row>
      <xdr:rowOff>1</xdr:rowOff>
    </xdr:to>
    <xdr:pic>
      <xdr:nvPicPr>
        <xdr:cNvPr id="6" name="Paveikslėlis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67375" y="6119020"/>
          <a:ext cx="5561238" cy="3244056"/>
        </a:xfrm>
        <a:prstGeom prst="rect">
          <a:avLst/>
        </a:prstGeom>
      </xdr:spPr>
    </xdr:pic>
    <xdr:clientData/>
  </xdr:twoCellAnchor>
  <xdr:twoCellAnchor editAs="oneCell">
    <xdr:from>
      <xdr:col>0</xdr:col>
      <xdr:colOff>25852</xdr:colOff>
      <xdr:row>27</xdr:row>
      <xdr:rowOff>9524</xdr:rowOff>
    </xdr:from>
    <xdr:to>
      <xdr:col>7</xdr:col>
      <xdr:colOff>50345</xdr:colOff>
      <xdr:row>44</xdr:row>
      <xdr:rowOff>19049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2" y="6134099"/>
          <a:ext cx="5568043" cy="32480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25</xdr:row>
      <xdr:rowOff>180976</xdr:rowOff>
    </xdr:from>
    <xdr:to>
      <xdr:col>6</xdr:col>
      <xdr:colOff>447676</xdr:colOff>
      <xdr:row>42</xdr:row>
      <xdr:rowOff>187326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6086476"/>
          <a:ext cx="5562600" cy="3244850"/>
        </a:xfrm>
        <a:prstGeom prst="rect">
          <a:avLst/>
        </a:prstGeom>
      </xdr:spPr>
    </xdr:pic>
    <xdr:clientData/>
  </xdr:twoCellAnchor>
  <xdr:twoCellAnchor editAs="oneCell">
    <xdr:from>
      <xdr:col>6</xdr:col>
      <xdr:colOff>541563</xdr:colOff>
      <xdr:row>25</xdr:row>
      <xdr:rowOff>190499</xdr:rowOff>
    </xdr:from>
    <xdr:to>
      <xdr:col>14</xdr:col>
      <xdr:colOff>204107</xdr:colOff>
      <xdr:row>43</xdr:row>
      <xdr:rowOff>9525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5538" y="6095999"/>
          <a:ext cx="5568044" cy="32480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0</xdr:rowOff>
    </xdr:from>
    <xdr:to>
      <xdr:col>5</xdr:col>
      <xdr:colOff>952500</xdr:colOff>
      <xdr:row>42</xdr:row>
      <xdr:rowOff>29513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14975"/>
          <a:ext cx="5210175" cy="3077513"/>
        </a:xfrm>
        <a:prstGeom prst="rect">
          <a:avLst/>
        </a:prstGeom>
      </xdr:spPr>
    </xdr:pic>
    <xdr:clientData/>
  </xdr:twoCellAnchor>
  <xdr:twoCellAnchor editAs="oneCell">
    <xdr:from>
      <xdr:col>5</xdr:col>
      <xdr:colOff>1004207</xdr:colOff>
      <xdr:row>26</xdr:row>
      <xdr:rowOff>19051</xdr:rowOff>
    </xdr:from>
    <xdr:to>
      <xdr:col>12</xdr:col>
      <xdr:colOff>571501</xdr:colOff>
      <xdr:row>42</xdr:row>
      <xdr:rowOff>7939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1882" y="5895976"/>
          <a:ext cx="5206094" cy="3036888"/>
        </a:xfrm>
        <a:prstGeom prst="rect">
          <a:avLst/>
        </a:prstGeom>
      </xdr:spPr>
    </xdr:pic>
    <xdr:clientData/>
  </xdr:twoCellAnchor>
  <xdr:twoCellAnchor editAs="oneCell">
    <xdr:from>
      <xdr:col>12</xdr:col>
      <xdr:colOff>647699</xdr:colOff>
      <xdr:row>26</xdr:row>
      <xdr:rowOff>19050</xdr:rowOff>
    </xdr:from>
    <xdr:to>
      <xdr:col>18</xdr:col>
      <xdr:colOff>380999</xdr:colOff>
      <xdr:row>42</xdr:row>
      <xdr:rowOff>10319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44174" y="5895975"/>
          <a:ext cx="5210175" cy="303926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24</xdr:row>
      <xdr:rowOff>182563</xdr:rowOff>
    </xdr:from>
    <xdr:to>
      <xdr:col>7</xdr:col>
      <xdr:colOff>376917</xdr:colOff>
      <xdr:row>43</xdr:row>
      <xdr:rowOff>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126038"/>
          <a:ext cx="5891892" cy="3436937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24</xdr:row>
      <xdr:rowOff>180975</xdr:rowOff>
    </xdr:from>
    <xdr:to>
      <xdr:col>17</xdr:col>
      <xdr:colOff>446314</xdr:colOff>
      <xdr:row>43</xdr:row>
      <xdr:rowOff>0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81700" y="5124450"/>
          <a:ext cx="5894614" cy="3438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1"/>
  <sheetViews>
    <sheetView topLeftCell="A7" workbookViewId="0">
      <selection activeCell="O25" sqref="O25"/>
    </sheetView>
  </sheetViews>
  <sheetFormatPr defaultRowHeight="15" x14ac:dyDescent="0.25"/>
  <cols>
    <col min="1" max="1" width="5.5703125" customWidth="1"/>
    <col min="2" max="2" width="27" customWidth="1"/>
    <col min="3" max="3" width="9" customWidth="1"/>
    <col min="4" max="4" width="8.140625" customWidth="1"/>
    <col min="5" max="5" width="8" customWidth="1"/>
    <col min="6" max="6" width="8.28515625" customWidth="1"/>
    <col min="7" max="7" width="8.42578125" customWidth="1"/>
    <col min="8" max="8" width="7.42578125" customWidth="1"/>
    <col min="9" max="9" width="7.85546875" customWidth="1"/>
    <col min="10" max="10" width="8" customWidth="1"/>
    <col min="11" max="12" width="8.5703125" customWidth="1"/>
    <col min="13" max="13" width="8.140625" customWidth="1"/>
    <col min="14" max="14" width="10.5703125" customWidth="1"/>
    <col min="15" max="15" width="9.85546875" customWidth="1"/>
  </cols>
  <sheetData>
    <row r="2" spans="1:15" x14ac:dyDescent="0.25">
      <c r="A2" s="104" t="s">
        <v>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4" spans="1:15" ht="15.95" customHeight="1" x14ac:dyDescent="0.25">
      <c r="A4" s="105" t="s">
        <v>3</v>
      </c>
      <c r="B4" s="105" t="s">
        <v>4</v>
      </c>
      <c r="C4" s="118" t="s">
        <v>52</v>
      </c>
      <c r="D4" s="119"/>
      <c r="E4" s="119"/>
      <c r="F4" s="120"/>
      <c r="G4" s="118" t="s">
        <v>5</v>
      </c>
      <c r="H4" s="119"/>
      <c r="I4" s="119"/>
      <c r="J4" s="119"/>
      <c r="K4" s="115" t="s">
        <v>39</v>
      </c>
      <c r="L4" s="115"/>
      <c r="M4" s="115"/>
      <c r="N4" s="105" t="s">
        <v>37</v>
      </c>
      <c r="O4" s="105" t="s">
        <v>38</v>
      </c>
    </row>
    <row r="5" spans="1:15" ht="15.95" customHeight="1" x14ac:dyDescent="0.25">
      <c r="A5" s="106"/>
      <c r="B5" s="106"/>
      <c r="C5" s="121"/>
      <c r="D5" s="122"/>
      <c r="E5" s="122"/>
      <c r="F5" s="123"/>
      <c r="G5" s="121"/>
      <c r="H5" s="122"/>
      <c r="I5" s="122"/>
      <c r="J5" s="122"/>
      <c r="K5" s="115"/>
      <c r="L5" s="115"/>
      <c r="M5" s="115"/>
      <c r="N5" s="106"/>
      <c r="O5" s="106"/>
    </row>
    <row r="6" spans="1:15" ht="15.95" customHeight="1" x14ac:dyDescent="0.25">
      <c r="A6" s="107"/>
      <c r="B6" s="107"/>
      <c r="C6" s="1" t="s">
        <v>6</v>
      </c>
      <c r="D6" s="1" t="s">
        <v>7</v>
      </c>
      <c r="E6" s="1" t="s">
        <v>8</v>
      </c>
      <c r="F6" s="2" t="s">
        <v>9</v>
      </c>
      <c r="G6" s="1" t="s">
        <v>10</v>
      </c>
      <c r="H6" s="1" t="s">
        <v>7</v>
      </c>
      <c r="I6" s="1" t="s">
        <v>8</v>
      </c>
      <c r="J6" s="2" t="s">
        <v>9</v>
      </c>
      <c r="K6" s="2" t="s">
        <v>10</v>
      </c>
      <c r="L6" s="2" t="s">
        <v>8</v>
      </c>
      <c r="M6" s="2" t="s">
        <v>9</v>
      </c>
      <c r="N6" s="107"/>
      <c r="O6" s="107"/>
    </row>
    <row r="7" spans="1:15" ht="15.95" customHeight="1" x14ac:dyDescent="0.25">
      <c r="A7" s="114" t="s">
        <v>11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</row>
    <row r="8" spans="1:15" ht="15.95" customHeight="1" x14ac:dyDescent="0.25">
      <c r="A8" s="3" t="s">
        <v>12</v>
      </c>
      <c r="B8" s="4" t="s">
        <v>13</v>
      </c>
      <c r="C8" s="5">
        <v>147892</v>
      </c>
      <c r="D8" s="5">
        <v>147892</v>
      </c>
      <c r="E8" s="6" t="s">
        <v>14</v>
      </c>
      <c r="F8" s="6" t="s">
        <v>15</v>
      </c>
      <c r="G8" s="9">
        <f>24930/147892*100</f>
        <v>16.856895572444756</v>
      </c>
      <c r="H8" s="9">
        <f>7690/147892*100</f>
        <v>5.1997403510669944</v>
      </c>
      <c r="I8" s="9" t="s">
        <v>14</v>
      </c>
      <c r="J8" s="9" t="s">
        <v>15</v>
      </c>
      <c r="K8" s="7">
        <f>C8/12</f>
        <v>12324.333333333334</v>
      </c>
      <c r="L8" s="6" t="s">
        <v>14</v>
      </c>
      <c r="M8" s="7" t="s">
        <v>15</v>
      </c>
      <c r="N8" s="8">
        <f>24930/C8</f>
        <v>0.16856895572444758</v>
      </c>
      <c r="O8" s="9">
        <f>57/24930*1000</f>
        <v>2.286401925391095</v>
      </c>
    </row>
    <row r="9" spans="1:15" ht="15.95" customHeight="1" x14ac:dyDescent="0.25">
      <c r="A9" s="3" t="s">
        <v>16</v>
      </c>
      <c r="B9" s="4" t="s">
        <v>17</v>
      </c>
      <c r="C9" s="5">
        <v>58439</v>
      </c>
      <c r="D9" s="6">
        <v>14449</v>
      </c>
      <c r="E9" s="6">
        <v>1255</v>
      </c>
      <c r="F9" s="6">
        <v>42735</v>
      </c>
      <c r="G9" s="9">
        <f>12230/58439*100</f>
        <v>20.927805061688257</v>
      </c>
      <c r="H9" s="9">
        <f>4176/14449*100</f>
        <v>28.901654093708906</v>
      </c>
      <c r="I9" s="9">
        <f>737/1255*100</f>
        <v>58.72509960159362</v>
      </c>
      <c r="J9" s="9">
        <f>7317/42735*100</f>
        <v>17.121797121797123</v>
      </c>
      <c r="K9" s="7">
        <f>C9/26</f>
        <v>2247.6538461538462</v>
      </c>
      <c r="L9" s="6">
        <f>E9/1</f>
        <v>1255</v>
      </c>
      <c r="M9" s="7">
        <f>F9/24</f>
        <v>1780.625</v>
      </c>
      <c r="N9" s="8">
        <f>12230/C9</f>
        <v>0.20927805061688257</v>
      </c>
      <c r="O9" s="9">
        <f>45/12230*1000</f>
        <v>3.6794766966475878</v>
      </c>
    </row>
    <row r="10" spans="1:15" ht="15.95" customHeight="1" x14ac:dyDescent="0.25">
      <c r="A10" s="3" t="s">
        <v>18</v>
      </c>
      <c r="B10" s="4" t="s">
        <v>19</v>
      </c>
      <c r="C10" s="5">
        <v>37575</v>
      </c>
      <c r="D10" s="6">
        <v>16820</v>
      </c>
      <c r="E10" s="6">
        <v>1364</v>
      </c>
      <c r="F10" s="6">
        <v>19391</v>
      </c>
      <c r="G10" s="9">
        <f>8490/37575*100</f>
        <v>22.594810379241519</v>
      </c>
      <c r="H10" s="9">
        <f>4201/16820*100</f>
        <v>24.976218787158146</v>
      </c>
      <c r="I10" s="9">
        <f>573/1364*100</f>
        <v>42.008797653958943</v>
      </c>
      <c r="J10" s="9">
        <f>3716/19391*100</f>
        <v>19.163529472435666</v>
      </c>
      <c r="K10" s="7">
        <f>C10/20</f>
        <v>1878.75</v>
      </c>
      <c r="L10" s="6">
        <f>E10/1</f>
        <v>1364</v>
      </c>
      <c r="M10" s="7">
        <f>F10/18</f>
        <v>1077.2777777777778</v>
      </c>
      <c r="N10" s="8">
        <f>8490/C10</f>
        <v>0.22594810379241517</v>
      </c>
      <c r="O10" s="9">
        <f>41/8490*1000</f>
        <v>4.8292108362779746</v>
      </c>
    </row>
    <row r="11" spans="1:15" ht="15.95" customHeight="1" x14ac:dyDescent="0.25">
      <c r="A11" s="3" t="s">
        <v>20</v>
      </c>
      <c r="B11" s="4" t="s">
        <v>21</v>
      </c>
      <c r="C11" s="5">
        <v>3455</v>
      </c>
      <c r="D11" s="36">
        <v>1500</v>
      </c>
      <c r="E11" s="36">
        <v>900</v>
      </c>
      <c r="F11" s="6" t="s">
        <v>15</v>
      </c>
      <c r="G11" s="9">
        <f>1449/3455*100</f>
        <v>41.939218523878438</v>
      </c>
      <c r="H11" s="9">
        <f>783/1500*100</f>
        <v>52.2</v>
      </c>
      <c r="I11" s="9">
        <f>666/900*100</f>
        <v>74</v>
      </c>
      <c r="J11" s="9" t="s">
        <v>15</v>
      </c>
      <c r="K11" s="7">
        <f>C11/3</f>
        <v>1151.6666666666667</v>
      </c>
      <c r="L11" s="6">
        <f>E11/2</f>
        <v>450</v>
      </c>
      <c r="M11" s="7" t="s">
        <v>15</v>
      </c>
      <c r="N11" s="8">
        <f>1449/C11</f>
        <v>0.41939218523878435</v>
      </c>
      <c r="O11" s="9">
        <f>8/1449*1000</f>
        <v>5.521048999309869</v>
      </c>
    </row>
    <row r="12" spans="1:15" ht="15.95" customHeight="1" x14ac:dyDescent="0.25">
      <c r="A12" s="3" t="s">
        <v>22</v>
      </c>
      <c r="B12" s="4" t="s">
        <v>23</v>
      </c>
      <c r="C12" s="5">
        <v>15664</v>
      </c>
      <c r="D12" s="5">
        <v>15664</v>
      </c>
      <c r="E12" s="6" t="s">
        <v>15</v>
      </c>
      <c r="F12" s="6" t="s">
        <v>15</v>
      </c>
      <c r="G12" s="9">
        <f>6249/15664*100</f>
        <v>39.894024514811036</v>
      </c>
      <c r="H12" s="9">
        <f>6249/15664*100</f>
        <v>39.894024514811036</v>
      </c>
      <c r="I12" s="9" t="s">
        <v>15</v>
      </c>
      <c r="J12" s="9" t="s">
        <v>15</v>
      </c>
      <c r="K12" s="7">
        <f>C12/3</f>
        <v>5221.333333333333</v>
      </c>
      <c r="L12" s="6" t="s">
        <v>15</v>
      </c>
      <c r="M12" s="7" t="s">
        <v>15</v>
      </c>
      <c r="N12" s="8">
        <f>6249/C12</f>
        <v>0.39894024514811033</v>
      </c>
      <c r="O12" s="9">
        <f>22/6249*1000</f>
        <v>3.5205632901264203</v>
      </c>
    </row>
    <row r="13" spans="1:15" ht="15.95" customHeight="1" x14ac:dyDescent="0.25">
      <c r="A13" s="3" t="s">
        <v>24</v>
      </c>
      <c r="B13" s="4" t="s">
        <v>25</v>
      </c>
      <c r="C13" s="5">
        <v>16493</v>
      </c>
      <c r="D13" s="6">
        <v>5279</v>
      </c>
      <c r="E13" s="6" t="s">
        <v>14</v>
      </c>
      <c r="F13" s="6">
        <v>11214</v>
      </c>
      <c r="G13" s="9">
        <f>4622/16493*100</f>
        <v>28.024010186139574</v>
      </c>
      <c r="H13" s="9">
        <f>1764/5279*100</f>
        <v>33.415419587042997</v>
      </c>
      <c r="I13" s="9" t="s">
        <v>14</v>
      </c>
      <c r="J13" s="9">
        <f>2595/11214*100</f>
        <v>23.140716960941678</v>
      </c>
      <c r="K13" s="7">
        <f>C13/15</f>
        <v>1099.5333333333333</v>
      </c>
      <c r="L13" s="6" t="s">
        <v>14</v>
      </c>
      <c r="M13" s="7">
        <f>F13/13</f>
        <v>862.61538461538464</v>
      </c>
      <c r="N13" s="8">
        <f>4622/C13</f>
        <v>0.28024010186139575</v>
      </c>
      <c r="O13" s="9">
        <f>32/4622*1000</f>
        <v>6.9234097793163132</v>
      </c>
    </row>
    <row r="14" spans="1:15" ht="15.95" customHeight="1" x14ac:dyDescent="0.25">
      <c r="A14" s="3" t="s">
        <v>26</v>
      </c>
      <c r="B14" s="4" t="s">
        <v>27</v>
      </c>
      <c r="C14" s="5">
        <v>38204</v>
      </c>
      <c r="D14" s="6">
        <v>15111</v>
      </c>
      <c r="E14" s="6" t="s">
        <v>15</v>
      </c>
      <c r="F14" s="6">
        <v>23093</v>
      </c>
      <c r="G14" s="9">
        <f>9073/38204*100</f>
        <v>23.748822112867764</v>
      </c>
      <c r="H14" s="9">
        <f>3437/15111*100</f>
        <v>22.745020183971938</v>
      </c>
      <c r="I14" s="9" t="s">
        <v>15</v>
      </c>
      <c r="J14" s="9">
        <f>5636/23093*100</f>
        <v>24.405664054042351</v>
      </c>
      <c r="K14" s="7">
        <f>C14/22</f>
        <v>1736.5454545454545</v>
      </c>
      <c r="L14" s="6" t="s">
        <v>15</v>
      </c>
      <c r="M14" s="7">
        <f>F14/21</f>
        <v>1099.6666666666667</v>
      </c>
      <c r="N14" s="8">
        <f>9073/C14</f>
        <v>0.23748822112867762</v>
      </c>
      <c r="O14" s="9">
        <f>53/9073*1000</f>
        <v>5.8415077703075058</v>
      </c>
    </row>
    <row r="15" spans="1:15" ht="15.95" customHeight="1" x14ac:dyDescent="0.25">
      <c r="A15" s="112" t="s">
        <v>34</v>
      </c>
      <c r="B15" s="113"/>
      <c r="C15" s="15">
        <f>SUM(C8:C14)</f>
        <v>317722</v>
      </c>
      <c r="D15" s="16">
        <f>SUM(D8:D14)</f>
        <v>216715</v>
      </c>
      <c r="E15" s="16">
        <f>SUM(E9:E11)</f>
        <v>3519</v>
      </c>
      <c r="F15" s="16">
        <f>SUM(F9:F14)</f>
        <v>96433</v>
      </c>
      <c r="G15" s="19">
        <f>SUM(G8:G14)</f>
        <v>193.98558635107136</v>
      </c>
      <c r="H15" s="19">
        <f>SUM(H8:H14)</f>
        <v>207.33207751776004</v>
      </c>
      <c r="I15" s="42">
        <f>SUM(I9:I11)</f>
        <v>174.73389725555256</v>
      </c>
      <c r="J15" s="19">
        <f>SUM(J9:J14)</f>
        <v>83.831707609216807</v>
      </c>
      <c r="K15" s="17">
        <f>SUM(K8:K14)</f>
        <v>25659.815967365968</v>
      </c>
      <c r="L15" s="16">
        <f>SUM(L9:L11)</f>
        <v>3069</v>
      </c>
      <c r="M15" s="17">
        <f>SUM(M9:M14)</f>
        <v>4820.1848290598291</v>
      </c>
      <c r="N15" s="18">
        <f>SUM(N8:N14)</f>
        <v>1.9398558635107133</v>
      </c>
      <c r="O15" s="19">
        <f>SUM(O8:O14)</f>
        <v>32.601619297376764</v>
      </c>
    </row>
    <row r="16" spans="1:15" ht="15.95" customHeight="1" x14ac:dyDescent="0.25">
      <c r="A16" s="110" t="s">
        <v>36</v>
      </c>
      <c r="B16" s="111"/>
      <c r="C16" s="40">
        <f>C15/7</f>
        <v>45388.857142857145</v>
      </c>
      <c r="D16" s="17">
        <f>D15/7</f>
        <v>30959.285714285714</v>
      </c>
      <c r="E16" s="17">
        <f>E15/3</f>
        <v>1173</v>
      </c>
      <c r="F16" s="17">
        <f>F15/4</f>
        <v>24108.25</v>
      </c>
      <c r="G16" s="19">
        <f>G15/7</f>
        <v>27.712226621581625</v>
      </c>
      <c r="H16" s="19">
        <f>H15/7</f>
        <v>29.618868216822865</v>
      </c>
      <c r="I16" s="42">
        <f>I15/3</f>
        <v>58.244632418517519</v>
      </c>
      <c r="J16" s="19">
        <f>J15/4</f>
        <v>20.957926902304202</v>
      </c>
      <c r="K16" s="17">
        <f>K15/7</f>
        <v>3665.6879953379953</v>
      </c>
      <c r="L16" s="16">
        <f>L15/3</f>
        <v>1023</v>
      </c>
      <c r="M16" s="17">
        <f>M15/4</f>
        <v>1205.0462072649573</v>
      </c>
      <c r="N16" s="18">
        <f>N15/7</f>
        <v>0.2771222662158162</v>
      </c>
      <c r="O16" s="19">
        <f>O15/7</f>
        <v>4.6573741853395374</v>
      </c>
    </row>
    <row r="17" spans="1:15" ht="15.95" customHeight="1" x14ac:dyDescent="0.25">
      <c r="A17" s="114" t="s">
        <v>28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</row>
    <row r="18" spans="1:15" ht="15.95" customHeight="1" x14ac:dyDescent="0.25">
      <c r="A18" s="3" t="s">
        <v>12</v>
      </c>
      <c r="B18" s="4" t="s">
        <v>29</v>
      </c>
      <c r="C18" s="10">
        <v>25452</v>
      </c>
      <c r="D18" s="11">
        <v>9846</v>
      </c>
      <c r="E18" s="11">
        <v>417</v>
      </c>
      <c r="F18" s="11">
        <v>15189</v>
      </c>
      <c r="G18" s="14">
        <f>6231/25452*100</f>
        <v>24.481376709099482</v>
      </c>
      <c r="H18" s="14">
        <f>2316/9846*100</f>
        <v>23.522242535039613</v>
      </c>
      <c r="I18" s="14">
        <f>324/417*100</f>
        <v>77.697841726618705</v>
      </c>
      <c r="J18" s="14">
        <f>3591/15189*100</f>
        <v>23.642109421291725</v>
      </c>
      <c r="K18" s="12">
        <f>C18/26</f>
        <v>978.92307692307691</v>
      </c>
      <c r="L18" s="11">
        <f>E18/1</f>
        <v>417</v>
      </c>
      <c r="M18" s="12">
        <f>F18/23</f>
        <v>660.39130434782612</v>
      </c>
      <c r="N18" s="13">
        <f>6231/C18</f>
        <v>0.24481376709099481</v>
      </c>
      <c r="O18" s="14">
        <f>40/6231*1000</f>
        <v>6.4195153265928422</v>
      </c>
    </row>
    <row r="19" spans="1:15" ht="15.95" customHeight="1" x14ac:dyDescent="0.25">
      <c r="A19" s="3" t="s">
        <v>16</v>
      </c>
      <c r="B19" s="4" t="s">
        <v>30</v>
      </c>
      <c r="C19" s="10">
        <v>7543</v>
      </c>
      <c r="D19" s="11">
        <v>1782</v>
      </c>
      <c r="E19" s="11" t="s">
        <v>15</v>
      </c>
      <c r="F19" s="11">
        <v>5761</v>
      </c>
      <c r="G19" s="14">
        <f>1997/7543*100</f>
        <v>26.474877369746785</v>
      </c>
      <c r="H19" s="14">
        <f>802/1782*100</f>
        <v>45.005611672278341</v>
      </c>
      <c r="I19" s="14" t="s">
        <v>15</v>
      </c>
      <c r="J19" s="14">
        <f>1195/5761*100</f>
        <v>20.742926575247353</v>
      </c>
      <c r="K19" s="12">
        <f>C19/9</f>
        <v>838.11111111111109</v>
      </c>
      <c r="L19" s="11" t="s">
        <v>15</v>
      </c>
      <c r="M19" s="12">
        <f>F19/8</f>
        <v>720.125</v>
      </c>
      <c r="N19" s="13">
        <f>1997/C19</f>
        <v>0.26474877369746785</v>
      </c>
      <c r="O19" s="14">
        <f>15/1997*1000</f>
        <v>7.5112669003505257</v>
      </c>
    </row>
    <row r="20" spans="1:15" ht="15.95" customHeight="1" x14ac:dyDescent="0.25">
      <c r="A20" s="3" t="s">
        <v>18</v>
      </c>
      <c r="B20" s="4" t="s">
        <v>31</v>
      </c>
      <c r="C20" s="10">
        <v>22410</v>
      </c>
      <c r="D20" s="11">
        <v>4722</v>
      </c>
      <c r="E20" s="11" t="s">
        <v>15</v>
      </c>
      <c r="F20" s="11">
        <v>17688</v>
      </c>
      <c r="G20" s="14">
        <f>5528/22410*100</f>
        <v>24.667559125390451</v>
      </c>
      <c r="H20" s="14">
        <f>1869/4722*100</f>
        <v>39.580686149936469</v>
      </c>
      <c r="I20" s="14" t="s">
        <v>15</v>
      </c>
      <c r="J20" s="14">
        <f>3659/17688*100</f>
        <v>20.686341022161916</v>
      </c>
      <c r="K20" s="12">
        <f>C20/24</f>
        <v>933.75</v>
      </c>
      <c r="L20" s="11" t="s">
        <v>15</v>
      </c>
      <c r="M20" s="12">
        <f>F20/23</f>
        <v>769.04347826086962</v>
      </c>
      <c r="N20" s="13">
        <f>5528/C20</f>
        <v>0.24667559125390451</v>
      </c>
      <c r="O20" s="14">
        <f>37/5528*1000</f>
        <v>6.6931982633863969</v>
      </c>
    </row>
    <row r="21" spans="1:15" ht="15.95" customHeight="1" x14ac:dyDescent="0.25">
      <c r="A21" s="3" t="s">
        <v>20</v>
      </c>
      <c r="B21" s="4" t="s">
        <v>32</v>
      </c>
      <c r="C21" s="10">
        <v>38290</v>
      </c>
      <c r="D21" s="11">
        <v>21672</v>
      </c>
      <c r="E21" s="11">
        <v>1444</v>
      </c>
      <c r="F21" s="11">
        <v>15174</v>
      </c>
      <c r="G21" s="14">
        <f>9366/38290*100</f>
        <v>24.460694698354661</v>
      </c>
      <c r="H21" s="14">
        <f>3695/38290*100</f>
        <v>9.6500391747192484</v>
      </c>
      <c r="I21" s="14">
        <f>879/1444*100</f>
        <v>60.872576177285318</v>
      </c>
      <c r="J21" s="14">
        <f>4792/15174*100</f>
        <v>31.580334783181758</v>
      </c>
      <c r="K21" s="12">
        <f>C21/28</f>
        <v>1367.5</v>
      </c>
      <c r="L21" s="11">
        <f>E21/2</f>
        <v>722</v>
      </c>
      <c r="M21" s="12">
        <f>F21/24</f>
        <v>632.25</v>
      </c>
      <c r="N21" s="13">
        <f>9366/C21</f>
        <v>0.24460694698354662</v>
      </c>
      <c r="O21" s="14">
        <f>50/9366*1000</f>
        <v>5.3384582532564595</v>
      </c>
    </row>
    <row r="22" spans="1:15" ht="15.95" customHeight="1" x14ac:dyDescent="0.25">
      <c r="A22" s="112" t="s">
        <v>34</v>
      </c>
      <c r="B22" s="113"/>
      <c r="C22" s="20">
        <f t="shared" ref="C22:O22" si="0">SUM(C18:C21)</f>
        <v>93695</v>
      </c>
      <c r="D22" s="21">
        <f t="shared" si="0"/>
        <v>38022</v>
      </c>
      <c r="E22" s="21">
        <f t="shared" si="0"/>
        <v>1861</v>
      </c>
      <c r="F22" s="21">
        <f t="shared" si="0"/>
        <v>53812</v>
      </c>
      <c r="G22" s="22">
        <f t="shared" si="0"/>
        <v>100.08450790259138</v>
      </c>
      <c r="H22" s="22">
        <f t="shared" si="0"/>
        <v>117.75857953197368</v>
      </c>
      <c r="I22" s="22">
        <f t="shared" si="0"/>
        <v>138.57041790390403</v>
      </c>
      <c r="J22" s="22">
        <f t="shared" si="0"/>
        <v>96.65171180188274</v>
      </c>
      <c r="K22" s="22">
        <f t="shared" si="0"/>
        <v>4118.2841880341875</v>
      </c>
      <c r="L22" s="21">
        <f t="shared" si="0"/>
        <v>1139</v>
      </c>
      <c r="M22" s="22">
        <f t="shared" si="0"/>
        <v>2781.8097826086955</v>
      </c>
      <c r="N22" s="23">
        <f t="shared" si="0"/>
        <v>1.0008450790259138</v>
      </c>
      <c r="O22" s="24">
        <f t="shared" si="0"/>
        <v>25.962438743586223</v>
      </c>
    </row>
    <row r="23" spans="1:15" ht="15.95" customHeight="1" x14ac:dyDescent="0.25">
      <c r="A23" s="110" t="s">
        <v>36</v>
      </c>
      <c r="B23" s="111"/>
      <c r="C23" s="39">
        <f t="shared" ref="C23:F23" si="1">C22/4</f>
        <v>23423.75</v>
      </c>
      <c r="D23" s="22">
        <f t="shared" si="1"/>
        <v>9505.5</v>
      </c>
      <c r="E23" s="22">
        <f>E22/2</f>
        <v>930.5</v>
      </c>
      <c r="F23" s="22">
        <f t="shared" si="1"/>
        <v>13453</v>
      </c>
      <c r="G23" s="22">
        <f>G22/4</f>
        <v>25.021126975647846</v>
      </c>
      <c r="H23" s="22">
        <f>H22/4</f>
        <v>29.43964488299342</v>
      </c>
      <c r="I23" s="22">
        <f>I22/2</f>
        <v>69.285208951952015</v>
      </c>
      <c r="J23" s="22">
        <f>J22/4</f>
        <v>24.162927950470685</v>
      </c>
      <c r="K23" s="22">
        <f>K22/4</f>
        <v>1029.5710470085469</v>
      </c>
      <c r="L23" s="21">
        <f>L22/2</f>
        <v>569.5</v>
      </c>
      <c r="M23" s="22">
        <f>M22/4</f>
        <v>695.45244565217388</v>
      </c>
      <c r="N23" s="23">
        <f>N22/4</f>
        <v>0.25021126975647845</v>
      </c>
      <c r="O23" s="24">
        <f>O22/4</f>
        <v>6.4906096858965556</v>
      </c>
    </row>
    <row r="24" spans="1:15" ht="27.75" customHeight="1" x14ac:dyDescent="0.25">
      <c r="A24" s="108" t="s">
        <v>33</v>
      </c>
      <c r="B24" s="109"/>
      <c r="C24" s="25">
        <f>SUM(C15,C22)</f>
        <v>411417</v>
      </c>
      <c r="D24" s="25">
        <f>SUM(D15,D22)</f>
        <v>254737</v>
      </c>
      <c r="E24" s="25">
        <f>SUM(E15,E22)</f>
        <v>5380</v>
      </c>
      <c r="F24" s="25">
        <f>SUM(F15,F22)</f>
        <v>150245</v>
      </c>
      <c r="G24" s="28">
        <f>SUM(G15,G22)</f>
        <v>294.07009425366277</v>
      </c>
      <c r="H24" s="28">
        <f>H15+H22</f>
        <v>325.09065704973375</v>
      </c>
      <c r="I24" s="28">
        <f t="shared" ref="I24:O24" si="2">SUM(I15,I22)</f>
        <v>313.30431515945656</v>
      </c>
      <c r="J24" s="28">
        <f t="shared" si="2"/>
        <v>180.48341941109953</v>
      </c>
      <c r="K24" s="26">
        <f t="shared" si="2"/>
        <v>29778.100155400156</v>
      </c>
      <c r="L24" s="25">
        <f t="shared" si="2"/>
        <v>4208</v>
      </c>
      <c r="M24" s="26">
        <f t="shared" si="2"/>
        <v>7601.9946116685242</v>
      </c>
      <c r="N24" s="27">
        <f t="shared" si="2"/>
        <v>2.9407009425366271</v>
      </c>
      <c r="O24" s="26">
        <f t="shared" si="2"/>
        <v>58.564058040962991</v>
      </c>
    </row>
    <row r="25" spans="1:15" ht="31.5" customHeight="1" x14ac:dyDescent="0.25">
      <c r="A25" s="108" t="s">
        <v>35</v>
      </c>
      <c r="B25" s="109"/>
      <c r="C25" s="26">
        <f>C24/11</f>
        <v>37401.545454545456</v>
      </c>
      <c r="D25" s="26">
        <f>D24/11</f>
        <v>23157.909090909092</v>
      </c>
      <c r="E25" s="26">
        <f>E24/5</f>
        <v>1076</v>
      </c>
      <c r="F25" s="26">
        <f>F24/8</f>
        <v>18780.625</v>
      </c>
      <c r="G25" s="28">
        <f>G24/11</f>
        <v>26.733644932151162</v>
      </c>
      <c r="H25" s="28">
        <f>H24/11</f>
        <v>29.55369609543034</v>
      </c>
      <c r="I25" s="28">
        <f>I24/5</f>
        <v>62.66086303189131</v>
      </c>
      <c r="J25" s="28">
        <f>J24/8</f>
        <v>22.560427426387442</v>
      </c>
      <c r="K25" s="26">
        <f>K24/11</f>
        <v>2707.1000141272871</v>
      </c>
      <c r="L25" s="26">
        <f>L24/5</f>
        <v>841.6</v>
      </c>
      <c r="M25" s="26">
        <f>M24/8</f>
        <v>950.24932645856552</v>
      </c>
      <c r="N25" s="27">
        <f>N24/11</f>
        <v>0.26733644932151157</v>
      </c>
      <c r="O25" s="28">
        <f>O24/11</f>
        <v>5.3240052764511807</v>
      </c>
    </row>
    <row r="27" spans="1:15" x14ac:dyDescent="0.25">
      <c r="A27" s="117" t="s">
        <v>50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</row>
    <row r="28" spans="1:15" x14ac:dyDescent="0.25">
      <c r="A28" s="117" t="s">
        <v>49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</row>
    <row r="29" spans="1:15" x14ac:dyDescent="0.25">
      <c r="A29" s="116" t="s">
        <v>60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</row>
    <row r="30" spans="1:15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1:15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</row>
  </sheetData>
  <mergeCells count="19">
    <mergeCell ref="A29:O29"/>
    <mergeCell ref="A27:O27"/>
    <mergeCell ref="A28:O28"/>
    <mergeCell ref="A4:A6"/>
    <mergeCell ref="B4:B6"/>
    <mergeCell ref="C4:F5"/>
    <mergeCell ref="G4:J5"/>
    <mergeCell ref="A2:O2"/>
    <mergeCell ref="N4:N6"/>
    <mergeCell ref="O4:O6"/>
    <mergeCell ref="A25:B25"/>
    <mergeCell ref="A16:B16"/>
    <mergeCell ref="A23:B23"/>
    <mergeCell ref="A15:B15"/>
    <mergeCell ref="A22:B22"/>
    <mergeCell ref="A24:B24"/>
    <mergeCell ref="A7:O7"/>
    <mergeCell ref="A17:O17"/>
    <mergeCell ref="K4:M5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M19 I23 H24 L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5"/>
  <sheetViews>
    <sheetView topLeftCell="A7" workbookViewId="0">
      <selection activeCell="V26" sqref="V26"/>
    </sheetView>
  </sheetViews>
  <sheetFormatPr defaultRowHeight="15" x14ac:dyDescent="0.25"/>
  <cols>
    <col min="1" max="1" width="5.5703125" customWidth="1"/>
    <col min="2" max="2" width="27.140625" customWidth="1"/>
    <col min="3" max="3" width="8.5703125" customWidth="1"/>
    <col min="4" max="4" width="7.85546875" customWidth="1"/>
    <col min="5" max="5" width="7.7109375" customWidth="1"/>
    <col min="6" max="6" width="8.42578125" customWidth="1"/>
    <col min="7" max="7" width="7.85546875" customWidth="1"/>
    <col min="8" max="8" width="8.5703125" customWidth="1"/>
    <col min="9" max="9" width="8.28515625" customWidth="1"/>
    <col min="10" max="10" width="8" customWidth="1"/>
    <col min="11" max="11" width="8.28515625" customWidth="1"/>
    <col min="12" max="12" width="8.140625" customWidth="1"/>
    <col min="13" max="14" width="8.5703125" customWidth="1"/>
    <col min="15" max="15" width="7.85546875" customWidth="1"/>
    <col min="16" max="16" width="8.28515625" customWidth="1"/>
    <col min="17" max="17" width="8.42578125" customWidth="1"/>
    <col min="18" max="19" width="8.5703125" customWidth="1"/>
    <col min="20" max="20" width="7.85546875" customWidth="1"/>
    <col min="21" max="21" width="8.5703125" customWidth="1"/>
    <col min="22" max="22" width="8.42578125" customWidth="1"/>
  </cols>
  <sheetData>
    <row r="2" spans="1:22" ht="15.75" x14ac:dyDescent="0.25">
      <c r="A2" s="125" t="s">
        <v>51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</row>
    <row r="3" spans="1:22" ht="15.75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ht="15.75" customHeight="1" x14ac:dyDescent="0.25">
      <c r="A4" s="134" t="s">
        <v>3</v>
      </c>
      <c r="B4" s="134" t="s">
        <v>4</v>
      </c>
      <c r="C4" s="126" t="s">
        <v>44</v>
      </c>
      <c r="D4" s="127"/>
      <c r="E4" s="128"/>
      <c r="F4" s="134" t="s">
        <v>45</v>
      </c>
      <c r="G4" s="134" t="s">
        <v>40</v>
      </c>
      <c r="H4" s="126" t="s">
        <v>46</v>
      </c>
      <c r="I4" s="127"/>
      <c r="J4" s="128"/>
      <c r="K4" s="134" t="s">
        <v>45</v>
      </c>
      <c r="L4" s="134" t="s">
        <v>40</v>
      </c>
      <c r="M4" s="126" t="s">
        <v>47</v>
      </c>
      <c r="N4" s="127"/>
      <c r="O4" s="128"/>
      <c r="P4" s="134" t="s">
        <v>45</v>
      </c>
      <c r="Q4" s="134" t="s">
        <v>40</v>
      </c>
      <c r="R4" s="126" t="s">
        <v>48</v>
      </c>
      <c r="S4" s="127"/>
      <c r="T4" s="128"/>
      <c r="U4" s="134" t="s">
        <v>45</v>
      </c>
      <c r="V4" s="134" t="s">
        <v>40</v>
      </c>
    </row>
    <row r="5" spans="1:22" ht="15.75" customHeight="1" x14ac:dyDescent="0.25">
      <c r="A5" s="135"/>
      <c r="B5" s="135"/>
      <c r="C5" s="129"/>
      <c r="D5" s="130"/>
      <c r="E5" s="131"/>
      <c r="F5" s="135"/>
      <c r="G5" s="135"/>
      <c r="H5" s="129"/>
      <c r="I5" s="130"/>
      <c r="J5" s="131"/>
      <c r="K5" s="135"/>
      <c r="L5" s="135"/>
      <c r="M5" s="129"/>
      <c r="N5" s="130"/>
      <c r="O5" s="131"/>
      <c r="P5" s="135"/>
      <c r="Q5" s="135"/>
      <c r="R5" s="129"/>
      <c r="S5" s="130"/>
      <c r="T5" s="131"/>
      <c r="U5" s="135"/>
      <c r="V5" s="135"/>
    </row>
    <row r="6" spans="1:22" ht="15.75" x14ac:dyDescent="0.25">
      <c r="A6" s="135"/>
      <c r="B6" s="135"/>
      <c r="C6" s="32" t="s">
        <v>41</v>
      </c>
      <c r="D6" s="32" t="s">
        <v>42</v>
      </c>
      <c r="E6" s="32" t="s">
        <v>43</v>
      </c>
      <c r="F6" s="135"/>
      <c r="G6" s="135"/>
      <c r="H6" s="32" t="s">
        <v>41</v>
      </c>
      <c r="I6" s="32" t="s">
        <v>42</v>
      </c>
      <c r="J6" s="32" t="s">
        <v>43</v>
      </c>
      <c r="K6" s="135"/>
      <c r="L6" s="135"/>
      <c r="M6" s="32" t="s">
        <v>41</v>
      </c>
      <c r="N6" s="32" t="s">
        <v>42</v>
      </c>
      <c r="O6" s="32" t="s">
        <v>43</v>
      </c>
      <c r="P6" s="135"/>
      <c r="Q6" s="135"/>
      <c r="R6" s="32" t="s">
        <v>41</v>
      </c>
      <c r="S6" s="32" t="s">
        <v>42</v>
      </c>
      <c r="T6" s="32" t="s">
        <v>43</v>
      </c>
      <c r="U6" s="135"/>
      <c r="V6" s="135"/>
    </row>
    <row r="7" spans="1:22" ht="15.75" x14ac:dyDescent="0.25">
      <c r="A7" s="133" t="s">
        <v>11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</row>
    <row r="8" spans="1:22" ht="16.5" customHeight="1" x14ac:dyDescent="0.25">
      <c r="A8" s="3" t="s">
        <v>12</v>
      </c>
      <c r="B8" s="4" t="s">
        <v>13</v>
      </c>
      <c r="C8" s="30">
        <v>24930</v>
      </c>
      <c r="D8" s="30">
        <v>17005</v>
      </c>
      <c r="E8" s="30">
        <v>7925</v>
      </c>
      <c r="F8" s="30">
        <v>24526</v>
      </c>
      <c r="G8" s="30">
        <f t="shared" ref="G8:G14" si="0">C8-F8</f>
        <v>404</v>
      </c>
      <c r="H8" s="30">
        <v>7690</v>
      </c>
      <c r="I8" s="30">
        <v>4971</v>
      </c>
      <c r="J8" s="30">
        <v>2719</v>
      </c>
      <c r="K8" s="30">
        <v>7846</v>
      </c>
      <c r="L8" s="30">
        <f t="shared" ref="L8:L15" si="1">H8-K8</f>
        <v>-156</v>
      </c>
      <c r="M8" s="30">
        <f>15966+1274</f>
        <v>17240</v>
      </c>
      <c r="N8" s="30">
        <f>11155+879</f>
        <v>12034</v>
      </c>
      <c r="O8" s="30">
        <f>4811+395</f>
        <v>5206</v>
      </c>
      <c r="P8" s="30">
        <f>16680+1167</f>
        <v>17847</v>
      </c>
      <c r="Q8" s="30">
        <f>M8-P8</f>
        <v>-607</v>
      </c>
      <c r="R8" s="30" t="s">
        <v>15</v>
      </c>
      <c r="S8" s="30" t="s">
        <v>15</v>
      </c>
      <c r="T8" s="30" t="s">
        <v>15</v>
      </c>
      <c r="U8" s="30" t="s">
        <v>15</v>
      </c>
      <c r="V8" s="30" t="s">
        <v>15</v>
      </c>
    </row>
    <row r="9" spans="1:22" ht="16.5" customHeight="1" x14ac:dyDescent="0.25">
      <c r="A9" s="3" t="s">
        <v>16</v>
      </c>
      <c r="B9" s="4" t="s">
        <v>17</v>
      </c>
      <c r="C9" s="30">
        <v>12230</v>
      </c>
      <c r="D9" s="30">
        <v>10517</v>
      </c>
      <c r="E9" s="30">
        <v>1713</v>
      </c>
      <c r="F9" s="30">
        <v>11765</v>
      </c>
      <c r="G9" s="30">
        <f t="shared" si="0"/>
        <v>465</v>
      </c>
      <c r="H9" s="30">
        <v>4176</v>
      </c>
      <c r="I9" s="30">
        <v>3501</v>
      </c>
      <c r="J9" s="30">
        <v>675</v>
      </c>
      <c r="K9" s="30">
        <v>3951</v>
      </c>
      <c r="L9" s="30">
        <f t="shared" si="1"/>
        <v>225</v>
      </c>
      <c r="M9" s="30">
        <v>737</v>
      </c>
      <c r="N9" s="30">
        <v>596</v>
      </c>
      <c r="O9" s="30">
        <v>141</v>
      </c>
      <c r="P9" s="30">
        <v>729</v>
      </c>
      <c r="Q9" s="30">
        <f>M9-P9</f>
        <v>8</v>
      </c>
      <c r="R9" s="30">
        <v>7317</v>
      </c>
      <c r="S9" s="30">
        <v>6420</v>
      </c>
      <c r="T9" s="30">
        <v>897</v>
      </c>
      <c r="U9" s="30">
        <v>7085</v>
      </c>
      <c r="V9" s="30">
        <f>R9-U9</f>
        <v>232</v>
      </c>
    </row>
    <row r="10" spans="1:22" ht="17.25" customHeight="1" x14ac:dyDescent="0.25">
      <c r="A10" s="3" t="s">
        <v>18</v>
      </c>
      <c r="B10" s="4" t="s">
        <v>19</v>
      </c>
      <c r="C10" s="30">
        <v>8490</v>
      </c>
      <c r="D10" s="30">
        <v>6688</v>
      </c>
      <c r="E10" s="30">
        <v>1802</v>
      </c>
      <c r="F10" s="30">
        <v>7752</v>
      </c>
      <c r="G10" s="30">
        <f t="shared" si="0"/>
        <v>738</v>
      </c>
      <c r="H10" s="30">
        <v>4201</v>
      </c>
      <c r="I10" s="30">
        <v>2997</v>
      </c>
      <c r="J10" s="30">
        <v>1204</v>
      </c>
      <c r="K10" s="30">
        <v>3403</v>
      </c>
      <c r="L10" s="30">
        <f t="shared" si="1"/>
        <v>798</v>
      </c>
      <c r="M10" s="30">
        <v>573</v>
      </c>
      <c r="N10" s="30">
        <v>479</v>
      </c>
      <c r="O10" s="30">
        <v>94</v>
      </c>
      <c r="P10" s="30">
        <v>563</v>
      </c>
      <c r="Q10" s="30">
        <f>M10-P10</f>
        <v>10</v>
      </c>
      <c r="R10" s="30">
        <v>3716</v>
      </c>
      <c r="S10" s="30">
        <v>3212</v>
      </c>
      <c r="T10" s="30">
        <v>504</v>
      </c>
      <c r="U10" s="30">
        <v>3786</v>
      </c>
      <c r="V10" s="30">
        <f>R10-U10</f>
        <v>-70</v>
      </c>
    </row>
    <row r="11" spans="1:22" ht="16.5" customHeight="1" x14ac:dyDescent="0.25">
      <c r="A11" s="3" t="s">
        <v>20</v>
      </c>
      <c r="B11" s="4" t="s">
        <v>21</v>
      </c>
      <c r="C11" s="30">
        <v>1449</v>
      </c>
      <c r="D11" s="30">
        <v>771</v>
      </c>
      <c r="E11" s="30">
        <v>678</v>
      </c>
      <c r="F11" s="30">
        <v>1335</v>
      </c>
      <c r="G11" s="30">
        <f t="shared" si="0"/>
        <v>114</v>
      </c>
      <c r="H11" s="30">
        <v>783</v>
      </c>
      <c r="I11" s="30">
        <v>358</v>
      </c>
      <c r="J11" s="30">
        <v>425</v>
      </c>
      <c r="K11" s="30">
        <v>736</v>
      </c>
      <c r="L11" s="30">
        <f t="shared" si="1"/>
        <v>47</v>
      </c>
      <c r="M11" s="30">
        <v>666</v>
      </c>
      <c r="N11" s="30">
        <v>413</v>
      </c>
      <c r="O11" s="30">
        <v>253</v>
      </c>
      <c r="P11" s="30">
        <v>599</v>
      </c>
      <c r="Q11" s="30">
        <f>M11-P11</f>
        <v>67</v>
      </c>
      <c r="R11" s="30" t="s">
        <v>15</v>
      </c>
      <c r="S11" s="30" t="s">
        <v>15</v>
      </c>
      <c r="T11" s="30" t="s">
        <v>15</v>
      </c>
      <c r="U11" s="30" t="s">
        <v>15</v>
      </c>
      <c r="V11" s="30" t="s">
        <v>15</v>
      </c>
    </row>
    <row r="12" spans="1:22" ht="15" customHeight="1" x14ac:dyDescent="0.25">
      <c r="A12" s="3" t="s">
        <v>22</v>
      </c>
      <c r="B12" s="4" t="s">
        <v>23</v>
      </c>
      <c r="C12" s="30">
        <v>6249</v>
      </c>
      <c r="D12" s="30">
        <v>4084</v>
      </c>
      <c r="E12" s="30">
        <v>2165</v>
      </c>
      <c r="F12" s="30">
        <v>6017</v>
      </c>
      <c r="G12" s="30">
        <f t="shared" si="0"/>
        <v>232</v>
      </c>
      <c r="H12" s="30">
        <v>6249</v>
      </c>
      <c r="I12" s="30">
        <v>4084</v>
      </c>
      <c r="J12" s="30">
        <v>2165</v>
      </c>
      <c r="K12" s="30">
        <v>6017</v>
      </c>
      <c r="L12" s="30">
        <f t="shared" si="1"/>
        <v>232</v>
      </c>
      <c r="M12" s="30" t="s">
        <v>15</v>
      </c>
      <c r="N12" s="30" t="s">
        <v>15</v>
      </c>
      <c r="O12" s="30" t="s">
        <v>15</v>
      </c>
      <c r="P12" s="30" t="s">
        <v>15</v>
      </c>
      <c r="Q12" s="30" t="s">
        <v>15</v>
      </c>
      <c r="R12" s="30" t="s">
        <v>15</v>
      </c>
      <c r="S12" s="30" t="s">
        <v>15</v>
      </c>
      <c r="T12" s="30" t="s">
        <v>15</v>
      </c>
      <c r="U12" s="30" t="s">
        <v>15</v>
      </c>
      <c r="V12" s="30" t="s">
        <v>15</v>
      </c>
    </row>
    <row r="13" spans="1:22" ht="15" customHeight="1" x14ac:dyDescent="0.25">
      <c r="A13" s="3" t="s">
        <v>24</v>
      </c>
      <c r="B13" s="4" t="s">
        <v>25</v>
      </c>
      <c r="C13" s="30">
        <v>4622</v>
      </c>
      <c r="D13" s="30">
        <v>3898</v>
      </c>
      <c r="E13" s="30">
        <v>724</v>
      </c>
      <c r="F13" s="30">
        <v>4826</v>
      </c>
      <c r="G13" s="30">
        <f t="shared" si="0"/>
        <v>-204</v>
      </c>
      <c r="H13" s="30">
        <v>1764</v>
      </c>
      <c r="I13" s="30">
        <v>1401</v>
      </c>
      <c r="J13" s="30">
        <v>363</v>
      </c>
      <c r="K13" s="30">
        <v>1735</v>
      </c>
      <c r="L13" s="30">
        <f t="shared" si="1"/>
        <v>29</v>
      </c>
      <c r="M13" s="30">
        <v>263</v>
      </c>
      <c r="N13" s="30">
        <v>221</v>
      </c>
      <c r="O13" s="30">
        <v>42</v>
      </c>
      <c r="P13" s="30">
        <v>306</v>
      </c>
      <c r="Q13" s="30">
        <f>M13-P13</f>
        <v>-43</v>
      </c>
      <c r="R13" s="30">
        <v>2595</v>
      </c>
      <c r="S13" s="30">
        <v>2276</v>
      </c>
      <c r="T13" s="30">
        <v>319</v>
      </c>
      <c r="U13" s="30">
        <v>2785</v>
      </c>
      <c r="V13" s="30">
        <f>R13-U13</f>
        <v>-190</v>
      </c>
    </row>
    <row r="14" spans="1:22" ht="15.75" x14ac:dyDescent="0.25">
      <c r="A14" s="3" t="s">
        <v>26</v>
      </c>
      <c r="B14" s="4" t="s">
        <v>27</v>
      </c>
      <c r="C14" s="30">
        <v>9073</v>
      </c>
      <c r="D14" s="30">
        <v>7761</v>
      </c>
      <c r="E14" s="30">
        <v>1312</v>
      </c>
      <c r="F14" s="30">
        <v>9157</v>
      </c>
      <c r="G14" s="30">
        <f t="shared" si="0"/>
        <v>-84</v>
      </c>
      <c r="H14" s="30">
        <v>3437</v>
      </c>
      <c r="I14" s="30">
        <v>2826</v>
      </c>
      <c r="J14" s="30">
        <v>611</v>
      </c>
      <c r="K14" s="30">
        <v>3457</v>
      </c>
      <c r="L14" s="30">
        <f t="shared" si="1"/>
        <v>-20</v>
      </c>
      <c r="M14" s="30" t="s">
        <v>15</v>
      </c>
      <c r="N14" s="30" t="s">
        <v>15</v>
      </c>
      <c r="O14" s="30" t="s">
        <v>15</v>
      </c>
      <c r="P14" s="30" t="s">
        <v>15</v>
      </c>
      <c r="Q14" s="30" t="s">
        <v>15</v>
      </c>
      <c r="R14" s="30">
        <v>5636</v>
      </c>
      <c r="S14" s="30">
        <v>4935</v>
      </c>
      <c r="T14" s="30">
        <v>701</v>
      </c>
      <c r="U14" s="30">
        <v>5700</v>
      </c>
      <c r="V14" s="30">
        <f>R14-U14</f>
        <v>-64</v>
      </c>
    </row>
    <row r="15" spans="1:22" ht="15.75" x14ac:dyDescent="0.25">
      <c r="A15" s="132" t="s">
        <v>34</v>
      </c>
      <c r="B15" s="132"/>
      <c r="C15" s="31">
        <f t="shared" ref="C15:K15" si="2">SUM(C8:C14)</f>
        <v>67043</v>
      </c>
      <c r="D15" s="31">
        <f t="shared" si="2"/>
        <v>50724</v>
      </c>
      <c r="E15" s="31">
        <f t="shared" si="2"/>
        <v>16319</v>
      </c>
      <c r="F15" s="31">
        <f t="shared" si="2"/>
        <v>65378</v>
      </c>
      <c r="G15" s="31">
        <f t="shared" si="2"/>
        <v>1665</v>
      </c>
      <c r="H15" s="31">
        <f t="shared" si="2"/>
        <v>28300</v>
      </c>
      <c r="I15" s="31">
        <f t="shared" si="2"/>
        <v>20138</v>
      </c>
      <c r="J15" s="31">
        <f t="shared" si="2"/>
        <v>8162</v>
      </c>
      <c r="K15" s="31">
        <f t="shared" si="2"/>
        <v>27145</v>
      </c>
      <c r="L15" s="31">
        <f t="shared" si="1"/>
        <v>1155</v>
      </c>
      <c r="M15" s="35">
        <f>SUM(M8:M13)</f>
        <v>19479</v>
      </c>
      <c r="N15" s="35">
        <f>SUM(N8:N13)</f>
        <v>13743</v>
      </c>
      <c r="O15" s="35">
        <f>SUM(O8:O13)</f>
        <v>5736</v>
      </c>
      <c r="P15" s="35">
        <f>SUM(P8:P13)</f>
        <v>20044</v>
      </c>
      <c r="Q15" s="35">
        <f>SUM(Q8:Q13)</f>
        <v>-565</v>
      </c>
      <c r="R15" s="35">
        <f>SUM(R9:R14)</f>
        <v>19264</v>
      </c>
      <c r="S15" s="35">
        <f>SUM(S9:S14)</f>
        <v>16843</v>
      </c>
      <c r="T15" s="35">
        <f>SUM(T9:T14)</f>
        <v>2421</v>
      </c>
      <c r="U15" s="35">
        <f>SUM(U9:U14)</f>
        <v>19356</v>
      </c>
      <c r="V15" s="35">
        <f>R15-U15</f>
        <v>-92</v>
      </c>
    </row>
    <row r="16" spans="1:22" ht="15.75" x14ac:dyDescent="0.25">
      <c r="A16" s="110" t="s">
        <v>36</v>
      </c>
      <c r="B16" s="111"/>
      <c r="C16" s="35">
        <f t="shared" ref="C16:L16" si="3">C15/7</f>
        <v>9577.5714285714294</v>
      </c>
      <c r="D16" s="35">
        <f t="shared" si="3"/>
        <v>7246.2857142857147</v>
      </c>
      <c r="E16" s="35">
        <f t="shared" si="3"/>
        <v>2331.2857142857142</v>
      </c>
      <c r="F16" s="35">
        <f t="shared" si="3"/>
        <v>9339.7142857142862</v>
      </c>
      <c r="G16" s="35">
        <f t="shared" si="3"/>
        <v>237.85714285714286</v>
      </c>
      <c r="H16" s="35">
        <f t="shared" si="3"/>
        <v>4042.8571428571427</v>
      </c>
      <c r="I16" s="35">
        <f t="shared" si="3"/>
        <v>2876.8571428571427</v>
      </c>
      <c r="J16" s="35">
        <f t="shared" si="3"/>
        <v>1166</v>
      </c>
      <c r="K16" s="35">
        <f t="shared" si="3"/>
        <v>3877.8571428571427</v>
      </c>
      <c r="L16" s="31">
        <f t="shared" si="3"/>
        <v>165</v>
      </c>
      <c r="M16" s="35">
        <f>M15/5</f>
        <v>3895.8</v>
      </c>
      <c r="N16" s="35">
        <f>N15/5</f>
        <v>2748.6</v>
      </c>
      <c r="O16" s="35">
        <f>O15/5</f>
        <v>1147.2</v>
      </c>
      <c r="P16" s="35">
        <f>P15/5</f>
        <v>4008.8</v>
      </c>
      <c r="Q16" s="35">
        <f>Q15/5</f>
        <v>-113</v>
      </c>
      <c r="R16" s="35">
        <f>R15/4</f>
        <v>4816</v>
      </c>
      <c r="S16" s="35">
        <f>S15/4</f>
        <v>4210.75</v>
      </c>
      <c r="T16" s="35">
        <f>T15/4</f>
        <v>605.25</v>
      </c>
      <c r="U16" s="35">
        <f>U15/4</f>
        <v>4839</v>
      </c>
      <c r="V16" s="35">
        <f>V15/4</f>
        <v>-23</v>
      </c>
    </row>
    <row r="17" spans="1:22" ht="15.75" x14ac:dyDescent="0.25">
      <c r="A17" s="133" t="s">
        <v>28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</row>
    <row r="18" spans="1:22" ht="15.75" customHeight="1" x14ac:dyDescent="0.25">
      <c r="A18" s="3" t="s">
        <v>12</v>
      </c>
      <c r="B18" s="4" t="s">
        <v>29</v>
      </c>
      <c r="C18" s="30">
        <v>6231</v>
      </c>
      <c r="D18" s="30">
        <v>5005</v>
      </c>
      <c r="E18" s="30">
        <v>1226</v>
      </c>
      <c r="F18" s="30">
        <v>6809</v>
      </c>
      <c r="G18" s="30">
        <f>C18-F18</f>
        <v>-578</v>
      </c>
      <c r="H18" s="30">
        <v>2316</v>
      </c>
      <c r="I18" s="30">
        <v>1632</v>
      </c>
      <c r="J18" s="30">
        <v>684</v>
      </c>
      <c r="K18" s="30">
        <v>2313</v>
      </c>
      <c r="L18" s="30">
        <f>H18-K18</f>
        <v>3</v>
      </c>
      <c r="M18" s="30">
        <v>324</v>
      </c>
      <c r="N18" s="30">
        <v>290</v>
      </c>
      <c r="O18" s="30">
        <v>34</v>
      </c>
      <c r="P18" s="30">
        <v>428</v>
      </c>
      <c r="Q18" s="30">
        <f>M18-P18</f>
        <v>-104</v>
      </c>
      <c r="R18" s="30">
        <v>3591</v>
      </c>
      <c r="S18" s="30">
        <v>3083</v>
      </c>
      <c r="T18" s="30">
        <v>508</v>
      </c>
      <c r="U18" s="30">
        <v>4068</v>
      </c>
      <c r="V18" s="30">
        <f>R18-U18</f>
        <v>-477</v>
      </c>
    </row>
    <row r="19" spans="1:22" ht="15" customHeight="1" x14ac:dyDescent="0.25">
      <c r="A19" s="3" t="s">
        <v>16</v>
      </c>
      <c r="B19" s="4" t="s">
        <v>30</v>
      </c>
      <c r="C19" s="30">
        <v>1997</v>
      </c>
      <c r="D19" s="30">
        <v>1773</v>
      </c>
      <c r="E19" s="30">
        <v>224</v>
      </c>
      <c r="F19" s="30">
        <v>2010</v>
      </c>
      <c r="G19" s="30">
        <f>C19-F19</f>
        <v>-13</v>
      </c>
      <c r="H19" s="30">
        <v>802</v>
      </c>
      <c r="I19" s="30">
        <v>680</v>
      </c>
      <c r="J19" s="30">
        <v>122</v>
      </c>
      <c r="K19" s="30">
        <v>815</v>
      </c>
      <c r="L19" s="30">
        <f>H19-K19</f>
        <v>-13</v>
      </c>
      <c r="M19" s="30" t="s">
        <v>15</v>
      </c>
      <c r="N19" s="30" t="s">
        <v>15</v>
      </c>
      <c r="O19" s="30" t="s">
        <v>15</v>
      </c>
      <c r="P19" s="30" t="s">
        <v>15</v>
      </c>
      <c r="Q19" s="30" t="s">
        <v>15</v>
      </c>
      <c r="R19" s="30">
        <v>1195</v>
      </c>
      <c r="S19" s="30">
        <v>1093</v>
      </c>
      <c r="T19" s="30">
        <v>102</v>
      </c>
      <c r="U19" s="30">
        <v>1195</v>
      </c>
      <c r="V19" s="30">
        <f>R19-U19</f>
        <v>0</v>
      </c>
    </row>
    <row r="20" spans="1:22" ht="15.75" x14ac:dyDescent="0.25">
      <c r="A20" s="3" t="s">
        <v>18</v>
      </c>
      <c r="B20" s="4" t="s">
        <v>31</v>
      </c>
      <c r="C20" s="30">
        <v>5528</v>
      </c>
      <c r="D20" s="30">
        <v>4715</v>
      </c>
      <c r="E20" s="30">
        <v>813</v>
      </c>
      <c r="F20" s="30">
        <v>5828</v>
      </c>
      <c r="G20" s="30">
        <f>C20-F20</f>
        <v>-300</v>
      </c>
      <c r="H20" s="30">
        <v>1869</v>
      </c>
      <c r="I20" s="30">
        <v>1640</v>
      </c>
      <c r="J20" s="30">
        <v>229</v>
      </c>
      <c r="K20" s="30">
        <v>1835</v>
      </c>
      <c r="L20" s="30">
        <f>H20-K20</f>
        <v>34</v>
      </c>
      <c r="M20" s="30" t="s">
        <v>15</v>
      </c>
      <c r="N20" s="30" t="s">
        <v>15</v>
      </c>
      <c r="O20" s="30" t="s">
        <v>15</v>
      </c>
      <c r="P20" s="30" t="s">
        <v>15</v>
      </c>
      <c r="Q20" s="30" t="s">
        <v>15</v>
      </c>
      <c r="R20" s="30">
        <v>3659</v>
      </c>
      <c r="S20" s="30">
        <v>3075</v>
      </c>
      <c r="T20" s="30">
        <v>584</v>
      </c>
      <c r="U20" s="30">
        <v>3993</v>
      </c>
      <c r="V20" s="30">
        <f>R20-U20</f>
        <v>-334</v>
      </c>
    </row>
    <row r="21" spans="1:22" ht="16.5" customHeight="1" x14ac:dyDescent="0.25">
      <c r="A21" s="3" t="s">
        <v>20</v>
      </c>
      <c r="B21" s="4" t="s">
        <v>32</v>
      </c>
      <c r="C21" s="30">
        <v>9366</v>
      </c>
      <c r="D21" s="30">
        <v>7770</v>
      </c>
      <c r="E21" s="30">
        <v>1596</v>
      </c>
      <c r="F21" s="30">
        <v>9433</v>
      </c>
      <c r="G21" s="30">
        <f>C21-F21</f>
        <v>-67</v>
      </c>
      <c r="H21" s="30">
        <v>3695</v>
      </c>
      <c r="I21" s="30">
        <v>2819</v>
      </c>
      <c r="J21" s="30">
        <v>876</v>
      </c>
      <c r="K21" s="30">
        <v>3777</v>
      </c>
      <c r="L21" s="30">
        <f>H21-K21</f>
        <v>-82</v>
      </c>
      <c r="M21" s="30">
        <v>879</v>
      </c>
      <c r="N21" s="30">
        <v>770</v>
      </c>
      <c r="O21" s="30">
        <v>109</v>
      </c>
      <c r="P21" s="30">
        <v>990</v>
      </c>
      <c r="Q21" s="30">
        <f>M21-P21</f>
        <v>-111</v>
      </c>
      <c r="R21" s="30">
        <v>4792</v>
      </c>
      <c r="S21" s="30">
        <v>4181</v>
      </c>
      <c r="T21" s="30">
        <v>611</v>
      </c>
      <c r="U21" s="30">
        <v>4666</v>
      </c>
      <c r="V21" s="30">
        <f>R21-U21</f>
        <v>126</v>
      </c>
    </row>
    <row r="22" spans="1:22" ht="16.5" customHeight="1" x14ac:dyDescent="0.25">
      <c r="A22" s="132" t="s">
        <v>34</v>
      </c>
      <c r="B22" s="132"/>
      <c r="C22" s="31">
        <f t="shared" ref="C22:U22" si="4">SUM(C18:C21)</f>
        <v>23122</v>
      </c>
      <c r="D22" s="31">
        <f t="shared" si="4"/>
        <v>19263</v>
      </c>
      <c r="E22" s="31">
        <f t="shared" si="4"/>
        <v>3859</v>
      </c>
      <c r="F22" s="31">
        <f t="shared" si="4"/>
        <v>24080</v>
      </c>
      <c r="G22" s="31">
        <f t="shared" si="4"/>
        <v>-958</v>
      </c>
      <c r="H22" s="31">
        <f t="shared" si="4"/>
        <v>8682</v>
      </c>
      <c r="I22" s="31">
        <f t="shared" si="4"/>
        <v>6771</v>
      </c>
      <c r="J22" s="31">
        <f t="shared" si="4"/>
        <v>1911</v>
      </c>
      <c r="K22" s="31">
        <f t="shared" si="4"/>
        <v>8740</v>
      </c>
      <c r="L22" s="31">
        <f t="shared" si="4"/>
        <v>-58</v>
      </c>
      <c r="M22" s="31">
        <f t="shared" si="4"/>
        <v>1203</v>
      </c>
      <c r="N22" s="31">
        <f t="shared" si="4"/>
        <v>1060</v>
      </c>
      <c r="O22" s="31">
        <f t="shared" si="4"/>
        <v>143</v>
      </c>
      <c r="P22" s="31">
        <f t="shared" si="4"/>
        <v>1418</v>
      </c>
      <c r="Q22" s="35">
        <f t="shared" si="4"/>
        <v>-215</v>
      </c>
      <c r="R22" s="31">
        <f t="shared" si="4"/>
        <v>13237</v>
      </c>
      <c r="S22" s="31">
        <f t="shared" si="4"/>
        <v>11432</v>
      </c>
      <c r="T22" s="31">
        <f t="shared" si="4"/>
        <v>1805</v>
      </c>
      <c r="U22" s="31">
        <f t="shared" si="4"/>
        <v>13922</v>
      </c>
      <c r="V22" s="31">
        <f>R22-U22</f>
        <v>-685</v>
      </c>
    </row>
    <row r="23" spans="1:22" ht="15.75" x14ac:dyDescent="0.25">
      <c r="A23" s="110" t="s">
        <v>36</v>
      </c>
      <c r="B23" s="111"/>
      <c r="C23" s="35">
        <f t="shared" ref="C23:L23" si="5">C22/4</f>
        <v>5780.5</v>
      </c>
      <c r="D23" s="35">
        <f t="shared" si="5"/>
        <v>4815.75</v>
      </c>
      <c r="E23" s="35">
        <f t="shared" si="5"/>
        <v>964.75</v>
      </c>
      <c r="F23" s="35">
        <f t="shared" si="5"/>
        <v>6020</v>
      </c>
      <c r="G23" s="35">
        <f t="shared" si="5"/>
        <v>-239.5</v>
      </c>
      <c r="H23" s="35">
        <f t="shared" si="5"/>
        <v>2170.5</v>
      </c>
      <c r="I23" s="35">
        <f t="shared" si="5"/>
        <v>1692.75</v>
      </c>
      <c r="J23" s="35">
        <f t="shared" si="5"/>
        <v>477.75</v>
      </c>
      <c r="K23" s="35">
        <f t="shared" si="5"/>
        <v>2185</v>
      </c>
      <c r="L23" s="35">
        <f t="shared" si="5"/>
        <v>-14.5</v>
      </c>
      <c r="M23" s="35">
        <f>M22/2</f>
        <v>601.5</v>
      </c>
      <c r="N23" s="35">
        <f>N22/2</f>
        <v>530</v>
      </c>
      <c r="O23" s="35">
        <f>O22/2</f>
        <v>71.5</v>
      </c>
      <c r="P23" s="35">
        <f>P22/2</f>
        <v>709</v>
      </c>
      <c r="Q23" s="35">
        <f>Q22/2</f>
        <v>-107.5</v>
      </c>
      <c r="R23" s="35">
        <f>R22/4</f>
        <v>3309.25</v>
      </c>
      <c r="S23" s="35">
        <f>S22/4</f>
        <v>2858</v>
      </c>
      <c r="T23" s="35">
        <f>T22/4</f>
        <v>451.25</v>
      </c>
      <c r="U23" s="35">
        <f>U22/4</f>
        <v>3480.5</v>
      </c>
      <c r="V23" s="35">
        <f>V22/4</f>
        <v>-171.25</v>
      </c>
    </row>
    <row r="24" spans="1:22" ht="28.5" customHeight="1" x14ac:dyDescent="0.25">
      <c r="A24" s="108" t="s">
        <v>33</v>
      </c>
      <c r="B24" s="124"/>
      <c r="C24" s="33">
        <f t="shared" ref="C24:V24" si="6">SUM(C15,C22)</f>
        <v>90165</v>
      </c>
      <c r="D24" s="33">
        <f t="shared" si="6"/>
        <v>69987</v>
      </c>
      <c r="E24" s="33">
        <f t="shared" si="6"/>
        <v>20178</v>
      </c>
      <c r="F24" s="33">
        <f t="shared" si="6"/>
        <v>89458</v>
      </c>
      <c r="G24" s="33">
        <f t="shared" si="6"/>
        <v>707</v>
      </c>
      <c r="H24" s="33">
        <f t="shared" si="6"/>
        <v>36982</v>
      </c>
      <c r="I24" s="33">
        <f t="shared" si="6"/>
        <v>26909</v>
      </c>
      <c r="J24" s="33">
        <f t="shared" si="6"/>
        <v>10073</v>
      </c>
      <c r="K24" s="33">
        <f t="shared" si="6"/>
        <v>35885</v>
      </c>
      <c r="L24" s="33">
        <f t="shared" si="6"/>
        <v>1097</v>
      </c>
      <c r="M24" s="34">
        <f t="shared" si="6"/>
        <v>20682</v>
      </c>
      <c r="N24" s="34">
        <f t="shared" si="6"/>
        <v>14803</v>
      </c>
      <c r="O24" s="34">
        <f t="shared" si="6"/>
        <v>5879</v>
      </c>
      <c r="P24" s="34">
        <f t="shared" si="6"/>
        <v>21462</v>
      </c>
      <c r="Q24" s="34">
        <f t="shared" si="6"/>
        <v>-780</v>
      </c>
      <c r="R24" s="34">
        <f t="shared" si="6"/>
        <v>32501</v>
      </c>
      <c r="S24" s="34">
        <f t="shared" si="6"/>
        <v>28275</v>
      </c>
      <c r="T24" s="34">
        <f t="shared" si="6"/>
        <v>4226</v>
      </c>
      <c r="U24" s="34">
        <f t="shared" si="6"/>
        <v>33278</v>
      </c>
      <c r="V24" s="34">
        <f t="shared" si="6"/>
        <v>-777</v>
      </c>
    </row>
    <row r="25" spans="1:22" ht="32.25" customHeight="1" x14ac:dyDescent="0.25">
      <c r="A25" s="108" t="s">
        <v>35</v>
      </c>
      <c r="B25" s="124"/>
      <c r="C25" s="34">
        <f t="shared" ref="C25:L25" si="7">C24/11</f>
        <v>8196.818181818182</v>
      </c>
      <c r="D25" s="34">
        <f t="shared" si="7"/>
        <v>6362.454545454545</v>
      </c>
      <c r="E25" s="34">
        <f t="shared" si="7"/>
        <v>1834.3636363636363</v>
      </c>
      <c r="F25" s="34">
        <f t="shared" si="7"/>
        <v>8132.545454545455</v>
      </c>
      <c r="G25" s="34">
        <f t="shared" si="7"/>
        <v>64.272727272727266</v>
      </c>
      <c r="H25" s="34">
        <f t="shared" si="7"/>
        <v>3362</v>
      </c>
      <c r="I25" s="34">
        <f t="shared" si="7"/>
        <v>2446.2727272727275</v>
      </c>
      <c r="J25" s="34">
        <f t="shared" si="7"/>
        <v>915.72727272727275</v>
      </c>
      <c r="K25" s="34">
        <f t="shared" si="7"/>
        <v>3262.2727272727275</v>
      </c>
      <c r="L25" s="34">
        <f t="shared" si="7"/>
        <v>99.727272727272734</v>
      </c>
      <c r="M25" s="34">
        <f>M24/7</f>
        <v>2954.5714285714284</v>
      </c>
      <c r="N25" s="34">
        <f>N24/7</f>
        <v>2114.7142857142858</v>
      </c>
      <c r="O25" s="34">
        <f>O24/7</f>
        <v>839.85714285714289</v>
      </c>
      <c r="P25" s="34">
        <f>P24/7</f>
        <v>3066</v>
      </c>
      <c r="Q25" s="34">
        <f>Q24/7</f>
        <v>-111.42857142857143</v>
      </c>
      <c r="R25" s="34">
        <f>R24/8</f>
        <v>4062.625</v>
      </c>
      <c r="S25" s="34">
        <f>S24/8</f>
        <v>3534.375</v>
      </c>
      <c r="T25" s="34">
        <f>T24/8</f>
        <v>528.25</v>
      </c>
      <c r="U25" s="34">
        <f>U24/8</f>
        <v>4159.75</v>
      </c>
      <c r="V25" s="34">
        <f>V24/8</f>
        <v>-97.125</v>
      </c>
    </row>
  </sheetData>
  <mergeCells count="23">
    <mergeCell ref="U4:U6"/>
    <mergeCell ref="A4:A6"/>
    <mergeCell ref="B4:B6"/>
    <mergeCell ref="F4:F6"/>
    <mergeCell ref="G4:G6"/>
    <mergeCell ref="K4:K6"/>
    <mergeCell ref="L4:L6"/>
    <mergeCell ref="A25:B25"/>
    <mergeCell ref="A2:V2"/>
    <mergeCell ref="C4:E5"/>
    <mergeCell ref="H4:J5"/>
    <mergeCell ref="M4:O5"/>
    <mergeCell ref="R4:T5"/>
    <mergeCell ref="A16:B16"/>
    <mergeCell ref="A22:B22"/>
    <mergeCell ref="A7:V7"/>
    <mergeCell ref="A15:B15"/>
    <mergeCell ref="A17:V17"/>
    <mergeCell ref="A23:B23"/>
    <mergeCell ref="A24:B24"/>
    <mergeCell ref="V4:V6"/>
    <mergeCell ref="P4:P6"/>
    <mergeCell ref="Q4:Q6"/>
  </mergeCells>
  <pageMargins left="0.70000000000000007" right="0.70000000000000007" top="0.75" bottom="0.75" header="0.30000000000000004" footer="0.30000000000000004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7"/>
  <sheetViews>
    <sheetView workbookViewId="0">
      <selection activeCell="R26" sqref="R26"/>
    </sheetView>
  </sheetViews>
  <sheetFormatPr defaultRowHeight="15" x14ac:dyDescent="0.25"/>
  <cols>
    <col min="1" max="1" width="4.5703125" customWidth="1"/>
    <col min="2" max="2" width="27.85546875" customWidth="1"/>
    <col min="3" max="3" width="8.85546875" customWidth="1"/>
    <col min="4" max="4" width="8" customWidth="1"/>
    <col min="5" max="5" width="8.140625" customWidth="1"/>
    <col min="6" max="6" width="9.85546875" customWidth="1"/>
    <col min="7" max="7" width="9" customWidth="1"/>
    <col min="8" max="8" width="8.42578125" customWidth="1"/>
    <col min="9" max="9" width="8.7109375" customWidth="1"/>
    <col min="10" max="10" width="9.7109375" customWidth="1"/>
    <col min="11" max="11" width="8.7109375" customWidth="1"/>
    <col min="12" max="12" width="8.28515625" customWidth="1"/>
    <col min="13" max="13" width="8.5703125" customWidth="1"/>
    <col min="14" max="14" width="9.7109375" customWidth="1"/>
    <col min="15" max="15" width="8.7109375" customWidth="1"/>
    <col min="16" max="17" width="8.5703125" customWidth="1"/>
    <col min="18" max="18" width="9.7109375" customWidth="1"/>
  </cols>
  <sheetData>
    <row r="2" spans="1:18" ht="15.75" x14ac:dyDescent="0.25">
      <c r="A2" s="136" t="s">
        <v>59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4" spans="1:18" ht="20.25" customHeight="1" x14ac:dyDescent="0.25">
      <c r="A4" s="105" t="s">
        <v>3</v>
      </c>
      <c r="B4" s="105" t="s">
        <v>4</v>
      </c>
      <c r="C4" s="118" t="s">
        <v>61</v>
      </c>
      <c r="D4" s="119"/>
      <c r="E4" s="119"/>
      <c r="F4" s="120"/>
      <c r="G4" s="118" t="s">
        <v>7</v>
      </c>
      <c r="H4" s="119"/>
      <c r="I4" s="119"/>
      <c r="J4" s="119"/>
      <c r="K4" s="146" t="s">
        <v>57</v>
      </c>
      <c r="L4" s="147"/>
      <c r="M4" s="147"/>
      <c r="N4" s="148"/>
      <c r="O4" s="146" t="s">
        <v>58</v>
      </c>
      <c r="P4" s="147"/>
      <c r="Q4" s="147"/>
      <c r="R4" s="148"/>
    </row>
    <row r="5" spans="1:18" ht="15" hidden="1" customHeight="1" x14ac:dyDescent="0.25">
      <c r="A5" s="106"/>
      <c r="B5" s="106"/>
      <c r="C5" s="143"/>
      <c r="D5" s="144"/>
      <c r="E5" s="144"/>
      <c r="F5" s="145"/>
      <c r="G5" s="121"/>
      <c r="H5" s="122"/>
      <c r="I5" s="122"/>
      <c r="J5" s="122"/>
      <c r="K5" s="149"/>
      <c r="L5" s="150"/>
      <c r="M5" s="150"/>
      <c r="N5" s="151"/>
      <c r="O5" s="149"/>
      <c r="P5" s="150"/>
      <c r="Q5" s="150"/>
      <c r="R5" s="151"/>
    </row>
    <row r="6" spans="1:18" ht="15.75" customHeight="1" x14ac:dyDescent="0.25">
      <c r="A6" s="106"/>
      <c r="B6" s="143"/>
      <c r="C6" s="139" t="s">
        <v>55</v>
      </c>
      <c r="D6" s="140"/>
      <c r="E6" s="141" t="s">
        <v>45</v>
      </c>
      <c r="F6" s="115" t="s">
        <v>56</v>
      </c>
      <c r="G6" s="139" t="s">
        <v>55</v>
      </c>
      <c r="H6" s="140"/>
      <c r="I6" s="141" t="s">
        <v>45</v>
      </c>
      <c r="J6" s="115" t="s">
        <v>56</v>
      </c>
      <c r="K6" s="139" t="s">
        <v>55</v>
      </c>
      <c r="L6" s="155"/>
      <c r="M6" s="148" t="s">
        <v>45</v>
      </c>
      <c r="N6" s="115" t="s">
        <v>56</v>
      </c>
      <c r="O6" s="115" t="s">
        <v>55</v>
      </c>
      <c r="P6" s="115"/>
      <c r="Q6" s="115" t="s">
        <v>45</v>
      </c>
      <c r="R6" s="115" t="s">
        <v>56</v>
      </c>
    </row>
    <row r="7" spans="1:18" ht="15.75" x14ac:dyDescent="0.25">
      <c r="A7" s="107"/>
      <c r="B7" s="107"/>
      <c r="C7" s="37" t="s">
        <v>53</v>
      </c>
      <c r="D7" s="48" t="s">
        <v>54</v>
      </c>
      <c r="E7" s="142"/>
      <c r="F7" s="115"/>
      <c r="G7" s="37" t="s">
        <v>53</v>
      </c>
      <c r="H7" s="48" t="s">
        <v>54</v>
      </c>
      <c r="I7" s="142"/>
      <c r="J7" s="115"/>
      <c r="K7" s="48" t="s">
        <v>53</v>
      </c>
      <c r="L7" s="38" t="s">
        <v>54</v>
      </c>
      <c r="M7" s="151"/>
      <c r="N7" s="115"/>
      <c r="O7" s="38" t="s">
        <v>53</v>
      </c>
      <c r="P7" s="38" t="s">
        <v>54</v>
      </c>
      <c r="Q7" s="115"/>
      <c r="R7" s="115"/>
    </row>
    <row r="8" spans="1:18" ht="15.75" x14ac:dyDescent="0.25">
      <c r="A8" s="152" t="s">
        <v>11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4"/>
    </row>
    <row r="9" spans="1:18" ht="15" customHeight="1" x14ac:dyDescent="0.25">
      <c r="A9" s="44" t="s">
        <v>12</v>
      </c>
      <c r="B9" s="47" t="s">
        <v>13</v>
      </c>
      <c r="C9" s="10">
        <v>6045</v>
      </c>
      <c r="D9" s="52">
        <f>C9/24930*100</f>
        <v>24.247894103489774</v>
      </c>
      <c r="E9" s="11">
        <v>5922</v>
      </c>
      <c r="F9" s="11">
        <f t="shared" ref="F9:F15" si="0">C9-E9</f>
        <v>123</v>
      </c>
      <c r="G9" s="12">
        <v>1502</v>
      </c>
      <c r="H9" s="14">
        <f>G9/7690*100</f>
        <v>19.53185955786736</v>
      </c>
      <c r="I9" s="12">
        <v>1614</v>
      </c>
      <c r="J9" s="12">
        <f t="shared" ref="J9:J15" si="1">G9-I9</f>
        <v>-112</v>
      </c>
      <c r="K9" s="12">
        <f>3705+1274</f>
        <v>4979</v>
      </c>
      <c r="L9" s="14">
        <f>K9/17240*100</f>
        <v>28.880510440835266</v>
      </c>
      <c r="M9" s="49">
        <f>3529+1167</f>
        <v>4696</v>
      </c>
      <c r="N9" s="54">
        <f>K9-M9</f>
        <v>283</v>
      </c>
      <c r="O9" s="55" t="s">
        <v>15</v>
      </c>
      <c r="P9" s="60" t="s">
        <v>15</v>
      </c>
      <c r="Q9" s="55" t="s">
        <v>15</v>
      </c>
      <c r="R9" s="54" t="s">
        <v>15</v>
      </c>
    </row>
    <row r="10" spans="1:18" ht="14.25" customHeight="1" x14ac:dyDescent="0.25">
      <c r="A10" s="44" t="s">
        <v>16</v>
      </c>
      <c r="B10" s="47" t="s">
        <v>17</v>
      </c>
      <c r="C10" s="10">
        <v>4436</v>
      </c>
      <c r="D10" s="14">
        <f>C10/12230*100</f>
        <v>36.271463614063777</v>
      </c>
      <c r="E10" s="11">
        <v>4336</v>
      </c>
      <c r="F10" s="11">
        <f t="shared" si="0"/>
        <v>100</v>
      </c>
      <c r="G10" s="12">
        <v>1684</v>
      </c>
      <c r="H10" s="14">
        <f>G10/4176*100</f>
        <v>40.325670498084293</v>
      </c>
      <c r="I10" s="12">
        <v>1596</v>
      </c>
      <c r="J10" s="12">
        <f t="shared" si="1"/>
        <v>88</v>
      </c>
      <c r="K10" s="12">
        <v>367</v>
      </c>
      <c r="L10" s="14">
        <f>K10/737*100</f>
        <v>49.796472184531886</v>
      </c>
      <c r="M10" s="49">
        <v>352</v>
      </c>
      <c r="N10" s="54">
        <f>K10-M10</f>
        <v>15</v>
      </c>
      <c r="O10" s="54">
        <v>2385</v>
      </c>
      <c r="P10" s="60">
        <f>O10/7317*100</f>
        <v>32.595325953259533</v>
      </c>
      <c r="Q10" s="55">
        <v>2388</v>
      </c>
      <c r="R10" s="54">
        <f>O10-Q10</f>
        <v>-3</v>
      </c>
    </row>
    <row r="11" spans="1:18" ht="15" customHeight="1" x14ac:dyDescent="0.25">
      <c r="A11" s="44" t="s">
        <v>18</v>
      </c>
      <c r="B11" s="47" t="s">
        <v>19</v>
      </c>
      <c r="C11" s="10">
        <v>2710</v>
      </c>
      <c r="D11" s="14">
        <f>C11/8490*100</f>
        <v>31.919905771495877</v>
      </c>
      <c r="E11" s="11">
        <v>2368</v>
      </c>
      <c r="F11" s="11">
        <f t="shared" si="0"/>
        <v>342</v>
      </c>
      <c r="G11" s="12">
        <v>1494</v>
      </c>
      <c r="H11" s="14">
        <f>G11/4201*100</f>
        <v>35.562961199714351</v>
      </c>
      <c r="I11" s="12">
        <v>1137</v>
      </c>
      <c r="J11" s="12">
        <f t="shared" si="1"/>
        <v>357</v>
      </c>
      <c r="K11" s="12">
        <v>168</v>
      </c>
      <c r="L11" s="14">
        <f>K11/573*100</f>
        <v>29.319371727748688</v>
      </c>
      <c r="M11" s="49">
        <v>170</v>
      </c>
      <c r="N11" s="54">
        <f>K11-M11</f>
        <v>-2</v>
      </c>
      <c r="O11" s="54">
        <v>1048</v>
      </c>
      <c r="P11" s="60">
        <f>O11/3716*100</f>
        <v>28.202368137782564</v>
      </c>
      <c r="Q11" s="55">
        <v>1061</v>
      </c>
      <c r="R11" s="54">
        <f>O11-Q11</f>
        <v>-13</v>
      </c>
    </row>
    <row r="12" spans="1:18" ht="14.25" customHeight="1" x14ac:dyDescent="0.25">
      <c r="A12" s="44" t="s">
        <v>20</v>
      </c>
      <c r="B12" s="47" t="s">
        <v>21</v>
      </c>
      <c r="C12" s="10">
        <v>119</v>
      </c>
      <c r="D12" s="53">
        <f>C12/1449*100</f>
        <v>8.2125603864734309</v>
      </c>
      <c r="E12" s="45">
        <v>110</v>
      </c>
      <c r="F12" s="11">
        <f t="shared" si="0"/>
        <v>9</v>
      </c>
      <c r="G12" s="12">
        <v>78</v>
      </c>
      <c r="H12" s="14">
        <f>G12/783*100</f>
        <v>9.9616858237547881</v>
      </c>
      <c r="I12" s="12">
        <v>72</v>
      </c>
      <c r="J12" s="12">
        <f t="shared" si="1"/>
        <v>6</v>
      </c>
      <c r="K12" s="12">
        <v>41</v>
      </c>
      <c r="L12" s="14">
        <f>K12/666*100</f>
        <v>6.1561561561561557</v>
      </c>
      <c r="M12" s="49">
        <v>38</v>
      </c>
      <c r="N12" s="54">
        <f>K12-M12</f>
        <v>3</v>
      </c>
      <c r="O12" s="54" t="s">
        <v>15</v>
      </c>
      <c r="P12" s="60" t="s">
        <v>15</v>
      </c>
      <c r="Q12" s="55" t="s">
        <v>15</v>
      </c>
      <c r="R12" s="54" t="s">
        <v>15</v>
      </c>
    </row>
    <row r="13" spans="1:18" ht="15" customHeight="1" x14ac:dyDescent="0.25">
      <c r="A13" s="44" t="s">
        <v>22</v>
      </c>
      <c r="B13" s="47" t="s">
        <v>23</v>
      </c>
      <c r="C13" s="10">
        <v>1171</v>
      </c>
      <c r="D13" s="52">
        <f>C13/6249*100</f>
        <v>18.738998239718356</v>
      </c>
      <c r="E13" s="11">
        <v>1237</v>
      </c>
      <c r="F13" s="11">
        <f t="shared" si="0"/>
        <v>-66</v>
      </c>
      <c r="G13" s="12">
        <v>1171</v>
      </c>
      <c r="H13" s="14">
        <f>G13/6249*100</f>
        <v>18.738998239718356</v>
      </c>
      <c r="I13" s="12">
        <v>1237</v>
      </c>
      <c r="J13" s="12">
        <f t="shared" si="1"/>
        <v>-66</v>
      </c>
      <c r="K13" s="12" t="s">
        <v>15</v>
      </c>
      <c r="L13" s="14" t="s">
        <v>15</v>
      </c>
      <c r="M13" s="49" t="s">
        <v>15</v>
      </c>
      <c r="N13" s="55" t="s">
        <v>15</v>
      </c>
      <c r="O13" s="54" t="s">
        <v>15</v>
      </c>
      <c r="P13" s="60" t="s">
        <v>15</v>
      </c>
      <c r="Q13" s="55" t="s">
        <v>15</v>
      </c>
      <c r="R13" s="54" t="s">
        <v>15</v>
      </c>
    </row>
    <row r="14" spans="1:18" ht="15" customHeight="1" x14ac:dyDescent="0.25">
      <c r="A14" s="44" t="s">
        <v>24</v>
      </c>
      <c r="B14" s="47" t="s">
        <v>25</v>
      </c>
      <c r="C14" s="10">
        <v>1149</v>
      </c>
      <c r="D14" s="14">
        <f>C14/4622*100</f>
        <v>24.859368238857638</v>
      </c>
      <c r="E14" s="11">
        <v>1271</v>
      </c>
      <c r="F14" s="11">
        <f t="shared" si="0"/>
        <v>-122</v>
      </c>
      <c r="G14" s="12">
        <v>561</v>
      </c>
      <c r="H14" s="14">
        <f>G14/1764*100</f>
        <v>31.802721088435376</v>
      </c>
      <c r="I14" s="12">
        <v>544</v>
      </c>
      <c r="J14" s="12">
        <f t="shared" si="1"/>
        <v>17</v>
      </c>
      <c r="K14" s="12">
        <v>15</v>
      </c>
      <c r="L14" s="14">
        <f>K14/263*100</f>
        <v>5.7034220532319395</v>
      </c>
      <c r="M14" s="49">
        <v>24</v>
      </c>
      <c r="N14" s="54">
        <f>K14-M14</f>
        <v>-9</v>
      </c>
      <c r="O14" s="54">
        <v>573</v>
      </c>
      <c r="P14" s="60">
        <f>O14/2595*100</f>
        <v>22.080924855491329</v>
      </c>
      <c r="Q14" s="55">
        <v>703</v>
      </c>
      <c r="R14" s="54">
        <f>O14-Q14</f>
        <v>-130</v>
      </c>
    </row>
    <row r="15" spans="1:18" ht="15.75" x14ac:dyDescent="0.25">
      <c r="A15" s="44" t="s">
        <v>26</v>
      </c>
      <c r="B15" s="47" t="s">
        <v>27</v>
      </c>
      <c r="C15" s="10">
        <v>2914</v>
      </c>
      <c r="D15" s="14">
        <f>C15/9073*100</f>
        <v>32.117271023917112</v>
      </c>
      <c r="E15" s="11">
        <v>2985</v>
      </c>
      <c r="F15" s="11">
        <f t="shared" si="0"/>
        <v>-71</v>
      </c>
      <c r="G15" s="12">
        <v>1126</v>
      </c>
      <c r="H15" s="14">
        <f>G15/3437*100</f>
        <v>32.761128891475124</v>
      </c>
      <c r="I15" s="12">
        <v>1061</v>
      </c>
      <c r="J15" s="12">
        <f t="shared" si="1"/>
        <v>65</v>
      </c>
      <c r="K15" s="12" t="s">
        <v>15</v>
      </c>
      <c r="L15" s="14" t="s">
        <v>15</v>
      </c>
      <c r="M15" s="49" t="s">
        <v>15</v>
      </c>
      <c r="N15" s="55" t="s">
        <v>15</v>
      </c>
      <c r="O15" s="54">
        <v>1788</v>
      </c>
      <c r="P15" s="60">
        <f>O15/5636*100</f>
        <v>31.724627395315824</v>
      </c>
      <c r="Q15" s="55">
        <v>1924</v>
      </c>
      <c r="R15" s="54">
        <f>O15-Q15</f>
        <v>-136</v>
      </c>
    </row>
    <row r="16" spans="1:18" ht="15.75" x14ac:dyDescent="0.25">
      <c r="A16" s="112" t="s">
        <v>34</v>
      </c>
      <c r="B16" s="113"/>
      <c r="C16" s="20">
        <f t="shared" ref="C16:R16" si="2">SUM(C9:C15)</f>
        <v>18544</v>
      </c>
      <c r="D16" s="24">
        <f t="shared" si="2"/>
        <v>176.36746137801595</v>
      </c>
      <c r="E16" s="21">
        <f t="shared" si="2"/>
        <v>18229</v>
      </c>
      <c r="F16" s="21">
        <f t="shared" si="2"/>
        <v>315</v>
      </c>
      <c r="G16" s="22">
        <f t="shared" si="2"/>
        <v>7616</v>
      </c>
      <c r="H16" s="24">
        <f t="shared" si="2"/>
        <v>188.68502529904967</v>
      </c>
      <c r="I16" s="59">
        <f t="shared" si="2"/>
        <v>7261</v>
      </c>
      <c r="J16" s="22">
        <f t="shared" si="2"/>
        <v>355</v>
      </c>
      <c r="K16" s="22">
        <f t="shared" si="2"/>
        <v>5570</v>
      </c>
      <c r="L16" s="24">
        <f t="shared" si="2"/>
        <v>119.85593256250394</v>
      </c>
      <c r="M16" s="50">
        <f t="shared" si="2"/>
        <v>5280</v>
      </c>
      <c r="N16" s="56">
        <f t="shared" si="2"/>
        <v>290</v>
      </c>
      <c r="O16" s="56">
        <f t="shared" si="2"/>
        <v>5794</v>
      </c>
      <c r="P16" s="61">
        <f t="shared" si="2"/>
        <v>114.60324634184924</v>
      </c>
      <c r="Q16" s="57">
        <f t="shared" si="2"/>
        <v>6076</v>
      </c>
      <c r="R16" s="56">
        <f t="shared" si="2"/>
        <v>-282</v>
      </c>
    </row>
    <row r="17" spans="1:18" ht="15.75" x14ac:dyDescent="0.25">
      <c r="A17" s="137" t="s">
        <v>36</v>
      </c>
      <c r="B17" s="138"/>
      <c r="C17" s="39">
        <f t="shared" ref="C17:J17" si="3">C16/7</f>
        <v>2649.1428571428573</v>
      </c>
      <c r="D17" s="24">
        <f t="shared" si="3"/>
        <v>25.195351625430849</v>
      </c>
      <c r="E17" s="22">
        <f t="shared" si="3"/>
        <v>2604.1428571428573</v>
      </c>
      <c r="F17" s="22">
        <f t="shared" si="3"/>
        <v>45</v>
      </c>
      <c r="G17" s="22">
        <f t="shared" si="3"/>
        <v>1088</v>
      </c>
      <c r="H17" s="24">
        <f t="shared" si="3"/>
        <v>26.955003614149952</v>
      </c>
      <c r="I17" s="59">
        <f t="shared" si="3"/>
        <v>1037.2857142857142</v>
      </c>
      <c r="J17" s="22">
        <f t="shared" si="3"/>
        <v>50.714285714285715</v>
      </c>
      <c r="K17" s="22">
        <f>K16/5</f>
        <v>1114</v>
      </c>
      <c r="L17" s="24">
        <f>L16/5</f>
        <v>23.971186512500786</v>
      </c>
      <c r="M17" s="50">
        <f>M16/5</f>
        <v>1056</v>
      </c>
      <c r="N17" s="57">
        <f>N16/5</f>
        <v>58</v>
      </c>
      <c r="O17" s="56">
        <f>O16/4</f>
        <v>1448.5</v>
      </c>
      <c r="P17" s="61">
        <f>P16/4</f>
        <v>28.650811585462311</v>
      </c>
      <c r="Q17" s="57">
        <f>Q16/4</f>
        <v>1519</v>
      </c>
      <c r="R17" s="56">
        <f>R16/4</f>
        <v>-70.5</v>
      </c>
    </row>
    <row r="18" spans="1:18" ht="15.75" x14ac:dyDescent="0.25">
      <c r="A18" s="152" t="s">
        <v>28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4"/>
    </row>
    <row r="19" spans="1:18" ht="15" customHeight="1" x14ac:dyDescent="0.25">
      <c r="A19" s="44" t="s">
        <v>12</v>
      </c>
      <c r="B19" s="47" t="s">
        <v>29</v>
      </c>
      <c r="C19" s="10">
        <v>1428</v>
      </c>
      <c r="D19" s="14">
        <f>C19/6231*100</f>
        <v>22.917669715936448</v>
      </c>
      <c r="E19" s="11">
        <v>1672</v>
      </c>
      <c r="F19" s="11">
        <f>C19-E19</f>
        <v>-244</v>
      </c>
      <c r="G19" s="12">
        <v>396</v>
      </c>
      <c r="H19" s="14">
        <f>G19/2316*100</f>
        <v>17.098445595854923</v>
      </c>
      <c r="I19" s="12">
        <v>400</v>
      </c>
      <c r="J19" s="12">
        <f>G19-I19</f>
        <v>-4</v>
      </c>
      <c r="K19" s="12">
        <v>88</v>
      </c>
      <c r="L19" s="14">
        <f>K19/324*100</f>
        <v>27.160493827160494</v>
      </c>
      <c r="M19" s="49">
        <v>108</v>
      </c>
      <c r="N19" s="58">
        <f>K19-M19</f>
        <v>-20</v>
      </c>
      <c r="O19" s="54">
        <v>944</v>
      </c>
      <c r="P19" s="60">
        <f>O19/3591*100</f>
        <v>26.28794207741576</v>
      </c>
      <c r="Q19" s="54">
        <v>1164</v>
      </c>
      <c r="R19" s="54">
        <f>O19-Q19</f>
        <v>-220</v>
      </c>
    </row>
    <row r="20" spans="1:18" ht="15.75" customHeight="1" x14ac:dyDescent="0.25">
      <c r="A20" s="44" t="s">
        <v>16</v>
      </c>
      <c r="B20" s="47" t="s">
        <v>30</v>
      </c>
      <c r="C20" s="10">
        <v>565</v>
      </c>
      <c r="D20" s="14">
        <f>C20/1997*100</f>
        <v>28.292438657986978</v>
      </c>
      <c r="E20" s="11">
        <v>564</v>
      </c>
      <c r="F20" s="11">
        <f>C20-E20</f>
        <v>1</v>
      </c>
      <c r="G20" s="12">
        <v>204</v>
      </c>
      <c r="H20" s="14">
        <f>G20/802*100</f>
        <v>25.436408977556109</v>
      </c>
      <c r="I20" s="12">
        <v>200</v>
      </c>
      <c r="J20" s="12">
        <f>G20-I20</f>
        <v>4</v>
      </c>
      <c r="K20" s="12" t="s">
        <v>15</v>
      </c>
      <c r="L20" s="14" t="s">
        <v>15</v>
      </c>
      <c r="M20" s="49" t="s">
        <v>15</v>
      </c>
      <c r="N20" s="58" t="s">
        <v>15</v>
      </c>
      <c r="O20" s="54">
        <v>361</v>
      </c>
      <c r="P20" s="60">
        <f>O20/1195*100</f>
        <v>30.209205020920503</v>
      </c>
      <c r="Q20" s="54">
        <v>364</v>
      </c>
      <c r="R20" s="54">
        <f>O20-Q20</f>
        <v>-3</v>
      </c>
    </row>
    <row r="21" spans="1:18" ht="15.75" x14ac:dyDescent="0.25">
      <c r="A21" s="44" t="s">
        <v>18</v>
      </c>
      <c r="B21" s="47" t="s">
        <v>31</v>
      </c>
      <c r="C21" s="10">
        <v>1985</v>
      </c>
      <c r="D21" s="14">
        <f>C21/5528*100</f>
        <v>35.908104196816211</v>
      </c>
      <c r="E21" s="11">
        <v>2146</v>
      </c>
      <c r="F21" s="11">
        <f>C21-E21</f>
        <v>-161</v>
      </c>
      <c r="G21" s="12">
        <v>729</v>
      </c>
      <c r="H21" s="14">
        <f>G21/1869*100</f>
        <v>39.004815409309792</v>
      </c>
      <c r="I21" s="12">
        <v>707</v>
      </c>
      <c r="J21" s="12">
        <f>G21-I21</f>
        <v>22</v>
      </c>
      <c r="K21" s="12" t="s">
        <v>15</v>
      </c>
      <c r="L21" s="14" t="s">
        <v>15</v>
      </c>
      <c r="M21" s="49" t="s">
        <v>15</v>
      </c>
      <c r="N21" s="58" t="s">
        <v>15</v>
      </c>
      <c r="O21" s="54">
        <v>1256</v>
      </c>
      <c r="P21" s="60">
        <f>O21/3659*100</f>
        <v>34.326318666302271</v>
      </c>
      <c r="Q21" s="54">
        <v>1439</v>
      </c>
      <c r="R21" s="54">
        <f>O21-Q21</f>
        <v>-183</v>
      </c>
    </row>
    <row r="22" spans="1:18" ht="14.25" customHeight="1" x14ac:dyDescent="0.25">
      <c r="A22" s="44" t="s">
        <v>20</v>
      </c>
      <c r="B22" s="47" t="s">
        <v>32</v>
      </c>
      <c r="C22" s="10">
        <v>2825</v>
      </c>
      <c r="D22" s="14">
        <f>C22/9366*100</f>
        <v>30.162289130898994</v>
      </c>
      <c r="E22" s="11">
        <v>2859</v>
      </c>
      <c r="F22" s="11">
        <f>C22-E22</f>
        <v>-34</v>
      </c>
      <c r="G22" s="12">
        <v>1273</v>
      </c>
      <c r="H22" s="14">
        <f>G22/3695*100</f>
        <v>34.451962110960757</v>
      </c>
      <c r="I22" s="12">
        <v>1202</v>
      </c>
      <c r="J22" s="12">
        <f>G22-I22</f>
        <v>71</v>
      </c>
      <c r="K22" s="12">
        <v>330</v>
      </c>
      <c r="L22" s="14">
        <f>K22/879*100</f>
        <v>37.542662116040951</v>
      </c>
      <c r="M22" s="49">
        <v>415</v>
      </c>
      <c r="N22" s="58">
        <f>K22-M22</f>
        <v>-85</v>
      </c>
      <c r="O22" s="54">
        <v>1222</v>
      </c>
      <c r="P22" s="60">
        <f>O22/4792*100</f>
        <v>25.500834724540901</v>
      </c>
      <c r="Q22" s="54">
        <v>1242</v>
      </c>
      <c r="R22" s="54">
        <f>O22-Q22</f>
        <v>-20</v>
      </c>
    </row>
    <row r="23" spans="1:18" ht="15.75" x14ac:dyDescent="0.25">
      <c r="A23" s="112" t="s">
        <v>34</v>
      </c>
      <c r="B23" s="113"/>
      <c r="C23" s="20">
        <f t="shared" ref="C23:R23" si="4">SUM(C19:C22)</f>
        <v>6803</v>
      </c>
      <c r="D23" s="24">
        <f t="shared" si="4"/>
        <v>117.28050170163864</v>
      </c>
      <c r="E23" s="21">
        <f t="shared" si="4"/>
        <v>7241</v>
      </c>
      <c r="F23" s="21">
        <f t="shared" si="4"/>
        <v>-438</v>
      </c>
      <c r="G23" s="22">
        <f t="shared" si="4"/>
        <v>2602</v>
      </c>
      <c r="H23" s="22">
        <f t="shared" si="4"/>
        <v>115.99163209368157</v>
      </c>
      <c r="I23" s="22">
        <f t="shared" si="4"/>
        <v>2509</v>
      </c>
      <c r="J23" s="22">
        <f t="shared" si="4"/>
        <v>93</v>
      </c>
      <c r="K23" s="22">
        <f t="shared" si="4"/>
        <v>418</v>
      </c>
      <c r="L23" s="24">
        <f t="shared" si="4"/>
        <v>64.703155943201438</v>
      </c>
      <c r="M23" s="50">
        <f t="shared" si="4"/>
        <v>523</v>
      </c>
      <c r="N23" s="22">
        <f t="shared" si="4"/>
        <v>-105</v>
      </c>
      <c r="O23" s="56">
        <f t="shared" si="4"/>
        <v>3783</v>
      </c>
      <c r="P23" s="61">
        <f t="shared" si="4"/>
        <v>116.32430048917945</v>
      </c>
      <c r="Q23" s="56">
        <f t="shared" si="4"/>
        <v>4209</v>
      </c>
      <c r="R23" s="56">
        <f t="shared" si="4"/>
        <v>-426</v>
      </c>
    </row>
    <row r="24" spans="1:18" ht="15.75" x14ac:dyDescent="0.25">
      <c r="A24" s="137" t="s">
        <v>36</v>
      </c>
      <c r="B24" s="138"/>
      <c r="C24" s="39">
        <f t="shared" ref="C24:J24" si="5">C23/4</f>
        <v>1700.75</v>
      </c>
      <c r="D24" s="24">
        <f t="shared" si="5"/>
        <v>29.32012542540966</v>
      </c>
      <c r="E24" s="22">
        <f t="shared" si="5"/>
        <v>1810.25</v>
      </c>
      <c r="F24" s="22">
        <f t="shared" si="5"/>
        <v>-109.5</v>
      </c>
      <c r="G24" s="22">
        <f t="shared" si="5"/>
        <v>650.5</v>
      </c>
      <c r="H24" s="22">
        <f t="shared" si="5"/>
        <v>28.997908023420393</v>
      </c>
      <c r="I24" s="22">
        <f t="shared" si="5"/>
        <v>627.25</v>
      </c>
      <c r="J24" s="22">
        <f t="shared" si="5"/>
        <v>23.25</v>
      </c>
      <c r="K24" s="22">
        <f>K23/2</f>
        <v>209</v>
      </c>
      <c r="L24" s="24">
        <f>L23/2</f>
        <v>32.351577971600719</v>
      </c>
      <c r="M24" s="50">
        <f>M23/2</f>
        <v>261.5</v>
      </c>
      <c r="N24" s="22">
        <f>N23/2</f>
        <v>-52.5</v>
      </c>
      <c r="O24" s="56">
        <f>O23/4</f>
        <v>945.75</v>
      </c>
      <c r="P24" s="61">
        <f>P23/4</f>
        <v>29.081075122294862</v>
      </c>
      <c r="Q24" s="56">
        <f>Q23/4</f>
        <v>1052.25</v>
      </c>
      <c r="R24" s="56">
        <f>R23/4</f>
        <v>-106.5</v>
      </c>
    </row>
    <row r="25" spans="1:18" ht="27.75" customHeight="1" x14ac:dyDescent="0.25">
      <c r="A25" s="108" t="s">
        <v>33</v>
      </c>
      <c r="B25" s="109"/>
      <c r="C25" s="25">
        <f t="shared" ref="C25:R25" si="6">SUM(C16,C23)</f>
        <v>25347</v>
      </c>
      <c r="D25" s="28">
        <f t="shared" si="6"/>
        <v>293.64796307965457</v>
      </c>
      <c r="E25" s="25">
        <f t="shared" si="6"/>
        <v>25470</v>
      </c>
      <c r="F25" s="25">
        <f t="shared" si="6"/>
        <v>-123</v>
      </c>
      <c r="G25" s="26">
        <f t="shared" si="6"/>
        <v>10218</v>
      </c>
      <c r="H25" s="28">
        <f t="shared" si="6"/>
        <v>304.67665739273127</v>
      </c>
      <c r="I25" s="26">
        <f t="shared" si="6"/>
        <v>9770</v>
      </c>
      <c r="J25" s="26">
        <f t="shared" si="6"/>
        <v>448</v>
      </c>
      <c r="K25" s="26">
        <f t="shared" si="6"/>
        <v>5988</v>
      </c>
      <c r="L25" s="28">
        <f t="shared" si="6"/>
        <v>184.55908850570538</v>
      </c>
      <c r="M25" s="51">
        <f t="shared" si="6"/>
        <v>5803</v>
      </c>
      <c r="N25" s="34">
        <f t="shared" si="6"/>
        <v>185</v>
      </c>
      <c r="O25" s="62">
        <f t="shared" si="6"/>
        <v>9577</v>
      </c>
      <c r="P25" s="63">
        <f t="shared" si="6"/>
        <v>230.92754683102868</v>
      </c>
      <c r="Q25" s="62">
        <f t="shared" si="6"/>
        <v>10285</v>
      </c>
      <c r="R25" s="62">
        <f t="shared" si="6"/>
        <v>-708</v>
      </c>
    </row>
    <row r="26" spans="1:18" ht="34.5" customHeight="1" x14ac:dyDescent="0.25">
      <c r="A26" s="108" t="s">
        <v>35</v>
      </c>
      <c r="B26" s="109"/>
      <c r="C26" s="26">
        <f t="shared" ref="C26:J26" si="7">C25/11</f>
        <v>2304.2727272727275</v>
      </c>
      <c r="D26" s="28">
        <f t="shared" si="7"/>
        <v>26.695269370877689</v>
      </c>
      <c r="E26" s="26">
        <f t="shared" si="7"/>
        <v>2315.4545454545455</v>
      </c>
      <c r="F26" s="26">
        <f t="shared" si="7"/>
        <v>-11.181818181818182</v>
      </c>
      <c r="G26" s="26">
        <f t="shared" si="7"/>
        <v>928.90909090909088</v>
      </c>
      <c r="H26" s="28">
        <f t="shared" si="7"/>
        <v>27.697877944793753</v>
      </c>
      <c r="I26" s="26">
        <f t="shared" si="7"/>
        <v>888.18181818181813</v>
      </c>
      <c r="J26" s="26">
        <f t="shared" si="7"/>
        <v>40.727272727272727</v>
      </c>
      <c r="K26" s="26">
        <f>K25/7</f>
        <v>855.42857142857144</v>
      </c>
      <c r="L26" s="28">
        <f>L25/7</f>
        <v>26.365584072243625</v>
      </c>
      <c r="M26" s="51">
        <f>M25/7</f>
        <v>829</v>
      </c>
      <c r="N26" s="34">
        <f>N25/7</f>
        <v>26.428571428571427</v>
      </c>
      <c r="O26" s="62">
        <f>O25/8</f>
        <v>1197.125</v>
      </c>
      <c r="P26" s="63">
        <f>P25/8</f>
        <v>28.865943353878585</v>
      </c>
      <c r="Q26" s="62">
        <f>Q25/8</f>
        <v>1285.625</v>
      </c>
      <c r="R26" s="62">
        <f>R25/8</f>
        <v>-88.5</v>
      </c>
    </row>
    <row r="27" spans="1:18" ht="15.75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</row>
  </sheetData>
  <mergeCells count="27">
    <mergeCell ref="J6:J7"/>
    <mergeCell ref="K6:L6"/>
    <mergeCell ref="M6:M7"/>
    <mergeCell ref="N6:N7"/>
    <mergeCell ref="K4:N5"/>
    <mergeCell ref="G4:J5"/>
    <mergeCell ref="A23:B23"/>
    <mergeCell ref="A24:B24"/>
    <mergeCell ref="A25:B25"/>
    <mergeCell ref="A26:B26"/>
    <mergeCell ref="A18:R18"/>
    <mergeCell ref="A2:R2"/>
    <mergeCell ref="A16:B16"/>
    <mergeCell ref="A17:B17"/>
    <mergeCell ref="C6:D6"/>
    <mergeCell ref="E6:E7"/>
    <mergeCell ref="F6:F7"/>
    <mergeCell ref="A4:A7"/>
    <mergeCell ref="B4:B7"/>
    <mergeCell ref="C4:F5"/>
    <mergeCell ref="O4:R5"/>
    <mergeCell ref="O6:P6"/>
    <mergeCell ref="Q6:Q7"/>
    <mergeCell ref="R6:R7"/>
    <mergeCell ref="A8:R8"/>
    <mergeCell ref="G6:H6"/>
    <mergeCell ref="I6:I7"/>
  </mergeCells>
  <pageMargins left="0.70000000000000007" right="0.70000000000000007" top="0.75" bottom="0.75" header="0.30000000000000004" footer="0.30000000000000004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5"/>
  <sheetViews>
    <sheetView workbookViewId="0">
      <selection activeCell="P25" sqref="P25"/>
    </sheetView>
  </sheetViews>
  <sheetFormatPr defaultRowHeight="15" x14ac:dyDescent="0.25"/>
  <cols>
    <col min="1" max="1" width="5.28515625" customWidth="1"/>
    <col min="2" max="2" width="27.28515625" customWidth="1"/>
    <col min="3" max="3" width="23.85546875" customWidth="1"/>
    <col min="4" max="4" width="12.7109375" customWidth="1"/>
    <col min="5" max="5" width="18.140625" customWidth="1"/>
    <col min="6" max="6" width="9.5703125" customWidth="1"/>
    <col min="7" max="7" width="9.7109375" customWidth="1"/>
    <col min="8" max="8" width="7.85546875" customWidth="1"/>
    <col min="9" max="9" width="8.7109375" customWidth="1"/>
    <col min="10" max="10" width="9" customWidth="1"/>
    <col min="11" max="11" width="9.85546875" customWidth="1"/>
    <col min="12" max="13" width="8.42578125" customWidth="1"/>
    <col min="14" max="14" width="9.7109375" customWidth="1"/>
    <col min="15" max="15" width="8.85546875" customWidth="1"/>
    <col min="16" max="16" width="8.7109375" customWidth="1"/>
    <col min="17" max="17" width="9.7109375" customWidth="1"/>
  </cols>
  <sheetData>
    <row r="2" spans="1:17" ht="15.75" x14ac:dyDescent="0.25">
      <c r="A2" s="162" t="s">
        <v>65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</row>
    <row r="4" spans="1:17" ht="17.25" customHeight="1" x14ac:dyDescent="0.25">
      <c r="A4" s="118" t="s">
        <v>3</v>
      </c>
      <c r="B4" s="141" t="s">
        <v>4</v>
      </c>
      <c r="C4" s="119" t="s">
        <v>64</v>
      </c>
      <c r="D4" s="146" t="s">
        <v>61</v>
      </c>
      <c r="E4" s="147"/>
      <c r="F4" s="147"/>
      <c r="G4" s="147"/>
      <c r="H4" s="148"/>
      <c r="I4" s="146" t="s">
        <v>7</v>
      </c>
      <c r="J4" s="147"/>
      <c r="K4" s="148"/>
      <c r="L4" s="146" t="s">
        <v>57</v>
      </c>
      <c r="M4" s="147"/>
      <c r="N4" s="148"/>
      <c r="O4" s="146" t="s">
        <v>58</v>
      </c>
      <c r="P4" s="147"/>
      <c r="Q4" s="148"/>
    </row>
    <row r="5" spans="1:17" ht="15.75" customHeight="1" x14ac:dyDescent="0.25">
      <c r="A5" s="143"/>
      <c r="B5" s="163"/>
      <c r="C5" s="144"/>
      <c r="D5" s="141" t="s">
        <v>66</v>
      </c>
      <c r="E5" s="141" t="s">
        <v>62</v>
      </c>
      <c r="F5" s="141" t="s">
        <v>45</v>
      </c>
      <c r="G5" s="141" t="s">
        <v>63</v>
      </c>
      <c r="H5" s="141" t="s">
        <v>54</v>
      </c>
      <c r="I5" s="141" t="s">
        <v>55</v>
      </c>
      <c r="J5" s="141" t="s">
        <v>45</v>
      </c>
      <c r="K5" s="141" t="s">
        <v>63</v>
      </c>
      <c r="L5" s="141" t="s">
        <v>55</v>
      </c>
      <c r="M5" s="141" t="s">
        <v>45</v>
      </c>
      <c r="N5" s="141" t="s">
        <v>63</v>
      </c>
      <c r="O5" s="141" t="s">
        <v>55</v>
      </c>
      <c r="P5" s="141" t="s">
        <v>45</v>
      </c>
      <c r="Q5" s="141" t="s">
        <v>63</v>
      </c>
    </row>
    <row r="6" spans="1:17" ht="29.25" customHeight="1" x14ac:dyDescent="0.25">
      <c r="A6" s="164"/>
      <c r="B6" s="142"/>
      <c r="C6" s="150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</row>
    <row r="7" spans="1:17" ht="15.75" x14ac:dyDescent="0.25">
      <c r="A7" s="152" t="s">
        <v>11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66"/>
      <c r="M7" s="66"/>
      <c r="N7" s="66"/>
      <c r="O7" s="66"/>
      <c r="P7" s="66"/>
      <c r="Q7" s="66"/>
    </row>
    <row r="8" spans="1:17" ht="15.95" customHeight="1" x14ac:dyDescent="0.25">
      <c r="A8" s="44" t="s">
        <v>12</v>
      </c>
      <c r="B8" s="47" t="s">
        <v>13</v>
      </c>
      <c r="C8" s="67">
        <v>147892</v>
      </c>
      <c r="D8" s="12">
        <v>405588</v>
      </c>
      <c r="E8" s="14">
        <f t="shared" ref="E8:E14" si="0">D8/C8</f>
        <v>2.7424607145755009</v>
      </c>
      <c r="F8" s="12">
        <f>403057+10830</f>
        <v>413887</v>
      </c>
      <c r="G8" s="12">
        <f t="shared" ref="G8:G14" si="1">D8-F8</f>
        <v>-8299</v>
      </c>
      <c r="H8" s="14">
        <f t="shared" ref="H8:H14" si="2">G8/D8*100</f>
        <v>-2.0461650739173742</v>
      </c>
      <c r="I8" s="12">
        <v>114320</v>
      </c>
      <c r="J8" s="12">
        <v>113561</v>
      </c>
      <c r="K8" s="49">
        <f t="shared" ref="K8:K14" si="3">I8-J8</f>
        <v>759</v>
      </c>
      <c r="L8" s="55">
        <f>279337+11931</f>
        <v>291268</v>
      </c>
      <c r="M8" s="55">
        <f>278666+10830</f>
        <v>289496</v>
      </c>
      <c r="N8" s="55">
        <f>L8-M8</f>
        <v>1772</v>
      </c>
      <c r="O8" s="55" t="s">
        <v>15</v>
      </c>
      <c r="P8" s="55" t="s">
        <v>15</v>
      </c>
      <c r="Q8" s="55" t="s">
        <v>15</v>
      </c>
    </row>
    <row r="9" spans="1:17" ht="15.95" customHeight="1" x14ac:dyDescent="0.25">
      <c r="A9" s="44" t="s">
        <v>16</v>
      </c>
      <c r="B9" s="47" t="s">
        <v>17</v>
      </c>
      <c r="C9" s="68">
        <v>58439</v>
      </c>
      <c r="D9" s="12">
        <v>281102</v>
      </c>
      <c r="E9" s="14">
        <f t="shared" si="0"/>
        <v>4.8101781344649979</v>
      </c>
      <c r="F9" s="12">
        <v>254711</v>
      </c>
      <c r="G9" s="12">
        <f t="shared" si="1"/>
        <v>26391</v>
      </c>
      <c r="H9" s="14">
        <f t="shared" si="2"/>
        <v>9.3884070550903225</v>
      </c>
      <c r="I9" s="12">
        <v>92675</v>
      </c>
      <c r="J9" s="12">
        <v>72179</v>
      </c>
      <c r="K9" s="49">
        <f t="shared" si="3"/>
        <v>20496</v>
      </c>
      <c r="L9" s="55">
        <v>15507</v>
      </c>
      <c r="M9" s="55">
        <v>14427</v>
      </c>
      <c r="N9" s="55">
        <f>L9-M9</f>
        <v>1080</v>
      </c>
      <c r="O9" s="55">
        <v>172920</v>
      </c>
      <c r="P9" s="55">
        <v>168105</v>
      </c>
      <c r="Q9" s="55">
        <f>O9-P9</f>
        <v>4815</v>
      </c>
    </row>
    <row r="10" spans="1:17" ht="15.95" customHeight="1" x14ac:dyDescent="0.25">
      <c r="A10" s="44" t="s">
        <v>18</v>
      </c>
      <c r="B10" s="47" t="s">
        <v>19</v>
      </c>
      <c r="C10" s="68">
        <v>37575</v>
      </c>
      <c r="D10" s="12">
        <v>221241</v>
      </c>
      <c r="E10" s="14">
        <f t="shared" si="0"/>
        <v>5.8879840319361278</v>
      </c>
      <c r="F10" s="12">
        <v>122811</v>
      </c>
      <c r="G10" s="12">
        <f t="shared" si="1"/>
        <v>98430</v>
      </c>
      <c r="H10" s="14">
        <f t="shared" si="2"/>
        <v>44.489945353709302</v>
      </c>
      <c r="I10" s="12">
        <v>150857</v>
      </c>
      <c r="J10" s="12">
        <v>47908</v>
      </c>
      <c r="K10" s="49">
        <f t="shared" si="3"/>
        <v>102949</v>
      </c>
      <c r="L10" s="55">
        <v>8460</v>
      </c>
      <c r="M10" s="55">
        <v>9883</v>
      </c>
      <c r="N10" s="55">
        <f>L10-M10</f>
        <v>-1423</v>
      </c>
      <c r="O10" s="55">
        <v>61924</v>
      </c>
      <c r="P10" s="55">
        <v>65020</v>
      </c>
      <c r="Q10" s="55">
        <f>O10-P10</f>
        <v>-3096</v>
      </c>
    </row>
    <row r="11" spans="1:17" ht="15.95" customHeight="1" x14ac:dyDescent="0.25">
      <c r="A11" s="44" t="s">
        <v>20</v>
      </c>
      <c r="B11" s="47" t="s">
        <v>21</v>
      </c>
      <c r="C11" s="68">
        <v>3455</v>
      </c>
      <c r="D11" s="12">
        <v>23507</v>
      </c>
      <c r="E11" s="14">
        <f t="shared" si="0"/>
        <v>6.8037626628075252</v>
      </c>
      <c r="F11" s="12">
        <v>22897</v>
      </c>
      <c r="G11" s="12">
        <f t="shared" si="1"/>
        <v>610</v>
      </c>
      <c r="H11" s="14">
        <f t="shared" si="2"/>
        <v>2.5949717105543031</v>
      </c>
      <c r="I11" s="12">
        <v>10092</v>
      </c>
      <c r="J11" s="12">
        <v>9988</v>
      </c>
      <c r="K11" s="49">
        <f t="shared" si="3"/>
        <v>104</v>
      </c>
      <c r="L11" s="55">
        <v>13415</v>
      </c>
      <c r="M11" s="55">
        <v>12909</v>
      </c>
      <c r="N11" s="55">
        <f>L11-M11</f>
        <v>506</v>
      </c>
      <c r="O11" s="55" t="s">
        <v>15</v>
      </c>
      <c r="P11" s="55" t="s">
        <v>15</v>
      </c>
      <c r="Q11" s="55" t="s">
        <v>15</v>
      </c>
    </row>
    <row r="12" spans="1:17" ht="15.95" customHeight="1" x14ac:dyDescent="0.25">
      <c r="A12" s="44" t="s">
        <v>22</v>
      </c>
      <c r="B12" s="47" t="s">
        <v>23</v>
      </c>
      <c r="C12" s="68">
        <v>15664</v>
      </c>
      <c r="D12" s="12">
        <v>92124</v>
      </c>
      <c r="E12" s="14">
        <f t="shared" si="0"/>
        <v>5.8812563840653729</v>
      </c>
      <c r="F12" s="12">
        <v>101834</v>
      </c>
      <c r="G12" s="12">
        <f t="shared" si="1"/>
        <v>-9710</v>
      </c>
      <c r="H12" s="14">
        <f t="shared" si="2"/>
        <v>-10.540141548347878</v>
      </c>
      <c r="I12" s="12">
        <v>92124</v>
      </c>
      <c r="J12" s="12">
        <v>101834</v>
      </c>
      <c r="K12" s="49">
        <f t="shared" si="3"/>
        <v>-9710</v>
      </c>
      <c r="L12" s="55" t="s">
        <v>15</v>
      </c>
      <c r="M12" s="55" t="s">
        <v>15</v>
      </c>
      <c r="N12" s="55" t="s">
        <v>15</v>
      </c>
      <c r="O12" s="55" t="s">
        <v>15</v>
      </c>
      <c r="P12" s="55" t="s">
        <v>15</v>
      </c>
      <c r="Q12" s="55" t="s">
        <v>15</v>
      </c>
    </row>
    <row r="13" spans="1:17" ht="15.95" customHeight="1" x14ac:dyDescent="0.25">
      <c r="A13" s="44" t="s">
        <v>24</v>
      </c>
      <c r="B13" s="47" t="s">
        <v>25</v>
      </c>
      <c r="C13" s="68">
        <v>16493</v>
      </c>
      <c r="D13" s="12">
        <v>71788</v>
      </c>
      <c r="E13" s="14">
        <f t="shared" si="0"/>
        <v>4.3526344509792034</v>
      </c>
      <c r="F13" s="12">
        <v>70970</v>
      </c>
      <c r="G13" s="12">
        <f t="shared" si="1"/>
        <v>818</v>
      </c>
      <c r="H13" s="14">
        <f t="shared" si="2"/>
        <v>1.1394662060511505</v>
      </c>
      <c r="I13" s="12">
        <v>30394</v>
      </c>
      <c r="J13" s="12">
        <v>28194</v>
      </c>
      <c r="K13" s="49">
        <f t="shared" si="3"/>
        <v>2200</v>
      </c>
      <c r="L13" s="55">
        <v>3014</v>
      </c>
      <c r="M13" s="55">
        <v>4830</v>
      </c>
      <c r="N13" s="55">
        <f>L13-M13</f>
        <v>-1816</v>
      </c>
      <c r="O13" s="55">
        <v>38380</v>
      </c>
      <c r="P13" s="55">
        <v>37946</v>
      </c>
      <c r="Q13" s="55">
        <f>O13-P13</f>
        <v>434</v>
      </c>
    </row>
    <row r="14" spans="1:17" ht="15.95" customHeight="1" x14ac:dyDescent="0.25">
      <c r="A14" s="44" t="s">
        <v>26</v>
      </c>
      <c r="B14" s="47" t="s">
        <v>27</v>
      </c>
      <c r="C14" s="68">
        <v>38204</v>
      </c>
      <c r="D14" s="12">
        <v>202642</v>
      </c>
      <c r="E14" s="14">
        <f t="shared" si="0"/>
        <v>5.3042089833525283</v>
      </c>
      <c r="F14" s="12">
        <v>207005</v>
      </c>
      <c r="G14" s="12">
        <f t="shared" si="1"/>
        <v>-4363</v>
      </c>
      <c r="H14" s="14">
        <f t="shared" si="2"/>
        <v>-2.1530581024664186</v>
      </c>
      <c r="I14" s="12">
        <v>59545</v>
      </c>
      <c r="J14" s="12">
        <v>58687</v>
      </c>
      <c r="K14" s="49">
        <f t="shared" si="3"/>
        <v>858</v>
      </c>
      <c r="L14" s="55" t="s">
        <v>15</v>
      </c>
      <c r="M14" s="55" t="s">
        <v>15</v>
      </c>
      <c r="N14" s="55" t="s">
        <v>15</v>
      </c>
      <c r="O14" s="55">
        <v>143097</v>
      </c>
      <c r="P14" s="55">
        <v>148318</v>
      </c>
      <c r="Q14" s="55">
        <f>O14-P14</f>
        <v>-5221</v>
      </c>
    </row>
    <row r="15" spans="1:17" ht="15.95" customHeight="1" x14ac:dyDescent="0.25">
      <c r="A15" s="112" t="s">
        <v>34</v>
      </c>
      <c r="B15" s="113"/>
      <c r="C15" s="39">
        <f t="shared" ref="C15:Q15" si="4">SUM(C8:C14)</f>
        <v>317722</v>
      </c>
      <c r="D15" s="22">
        <f t="shared" si="4"/>
        <v>1297992</v>
      </c>
      <c r="E15" s="24">
        <f t="shared" si="4"/>
        <v>35.782485362181255</v>
      </c>
      <c r="F15" s="59">
        <f t="shared" si="4"/>
        <v>1194115</v>
      </c>
      <c r="G15" s="22">
        <f t="shared" si="4"/>
        <v>103877</v>
      </c>
      <c r="H15" s="22">
        <f t="shared" si="4"/>
        <v>42.873425600673414</v>
      </c>
      <c r="I15" s="22">
        <f t="shared" si="4"/>
        <v>550007</v>
      </c>
      <c r="J15" s="22">
        <f t="shared" si="4"/>
        <v>432351</v>
      </c>
      <c r="K15" s="50">
        <f t="shared" si="4"/>
        <v>117656</v>
      </c>
      <c r="L15" s="56">
        <f t="shared" si="4"/>
        <v>331664</v>
      </c>
      <c r="M15" s="56">
        <f t="shared" si="4"/>
        <v>331545</v>
      </c>
      <c r="N15" s="56">
        <f t="shared" si="4"/>
        <v>119</v>
      </c>
      <c r="O15" s="56">
        <f t="shared" si="4"/>
        <v>416321</v>
      </c>
      <c r="P15" s="56">
        <f t="shared" si="4"/>
        <v>419389</v>
      </c>
      <c r="Q15" s="56">
        <f t="shared" si="4"/>
        <v>-3068</v>
      </c>
    </row>
    <row r="16" spans="1:17" ht="15.95" customHeight="1" x14ac:dyDescent="0.25">
      <c r="A16" s="110" t="s">
        <v>36</v>
      </c>
      <c r="B16" s="111"/>
      <c r="C16" s="39">
        <f t="shared" ref="C16:K16" si="5">C15/7</f>
        <v>45388.857142857145</v>
      </c>
      <c r="D16" s="22">
        <f t="shared" si="5"/>
        <v>185427.42857142858</v>
      </c>
      <c r="E16" s="24">
        <f t="shared" si="5"/>
        <v>5.1117836231687503</v>
      </c>
      <c r="F16" s="59">
        <f t="shared" si="5"/>
        <v>170587.85714285713</v>
      </c>
      <c r="G16" s="22">
        <f t="shared" si="5"/>
        <v>14839.571428571429</v>
      </c>
      <c r="H16" s="22">
        <f t="shared" si="5"/>
        <v>6.1247750858104881</v>
      </c>
      <c r="I16" s="22">
        <f t="shared" si="5"/>
        <v>78572.428571428565</v>
      </c>
      <c r="J16" s="22">
        <f t="shared" si="5"/>
        <v>61764.428571428572</v>
      </c>
      <c r="K16" s="22">
        <f t="shared" si="5"/>
        <v>16808</v>
      </c>
      <c r="L16" s="56">
        <f>L15/5</f>
        <v>66332.800000000003</v>
      </c>
      <c r="M16" s="56">
        <f>M15/5</f>
        <v>66309</v>
      </c>
      <c r="N16" s="56">
        <f>N15/5</f>
        <v>23.8</v>
      </c>
      <c r="O16" s="56">
        <f>O15/4</f>
        <v>104080.25</v>
      </c>
      <c r="P16" s="56">
        <f>P15/4</f>
        <v>104847.25</v>
      </c>
      <c r="Q16" s="56">
        <f>Q15/4</f>
        <v>-767</v>
      </c>
    </row>
    <row r="17" spans="1:17" ht="15.95" customHeight="1" x14ac:dyDescent="0.25">
      <c r="A17" s="152" t="s">
        <v>28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66"/>
      <c r="M17" s="66"/>
      <c r="N17" s="66"/>
      <c r="O17" s="66"/>
      <c r="P17" s="66"/>
      <c r="Q17" s="66"/>
    </row>
    <row r="18" spans="1:17" ht="15.95" customHeight="1" x14ac:dyDescent="0.25">
      <c r="A18" s="44" t="s">
        <v>12</v>
      </c>
      <c r="B18" s="47" t="s">
        <v>29</v>
      </c>
      <c r="C18" s="67">
        <v>25452</v>
      </c>
      <c r="D18" s="12">
        <v>115772</v>
      </c>
      <c r="E18" s="14">
        <f>D18/C18</f>
        <v>4.5486405783435488</v>
      </c>
      <c r="F18" s="12">
        <v>138153</v>
      </c>
      <c r="G18" s="12">
        <f>-D18-F18</f>
        <v>-253925</v>
      </c>
      <c r="H18" s="14">
        <f>G18/D18*100</f>
        <v>-219.33196282348061</v>
      </c>
      <c r="I18" s="12">
        <v>39441</v>
      </c>
      <c r="J18" s="12">
        <v>52028</v>
      </c>
      <c r="K18" s="49">
        <f>I18-J18</f>
        <v>-12587</v>
      </c>
      <c r="L18" s="55">
        <v>5927</v>
      </c>
      <c r="M18" s="55">
        <v>10957</v>
      </c>
      <c r="N18" s="55">
        <f>L18-M18</f>
        <v>-5030</v>
      </c>
      <c r="O18" s="55">
        <v>70404</v>
      </c>
      <c r="P18" s="55">
        <v>75168</v>
      </c>
      <c r="Q18" s="55">
        <f>O18-P18</f>
        <v>-4764</v>
      </c>
    </row>
    <row r="19" spans="1:17" ht="15.95" customHeight="1" x14ac:dyDescent="0.25">
      <c r="A19" s="44" t="s">
        <v>16</v>
      </c>
      <c r="B19" s="47" t="s">
        <v>30</v>
      </c>
      <c r="C19" s="67">
        <v>7543</v>
      </c>
      <c r="D19" s="12">
        <v>70456</v>
      </c>
      <c r="E19" s="14">
        <f>D19/C19</f>
        <v>9.3405806708206285</v>
      </c>
      <c r="F19" s="12">
        <v>70386</v>
      </c>
      <c r="G19" s="12">
        <f>D19-F19</f>
        <v>70</v>
      </c>
      <c r="H19" s="14">
        <f>G19/D19*100</f>
        <v>9.9352787555353692E-2</v>
      </c>
      <c r="I19" s="12">
        <v>47060</v>
      </c>
      <c r="J19" s="12">
        <v>46850</v>
      </c>
      <c r="K19" s="49">
        <f>I19-J19</f>
        <v>210</v>
      </c>
      <c r="L19" s="55" t="s">
        <v>15</v>
      </c>
      <c r="M19" s="55" t="s">
        <v>15</v>
      </c>
      <c r="N19" s="55" t="s">
        <v>15</v>
      </c>
      <c r="O19" s="55">
        <v>23396</v>
      </c>
      <c r="P19" s="55">
        <v>23536</v>
      </c>
      <c r="Q19" s="55">
        <f>O19-P19</f>
        <v>-140</v>
      </c>
    </row>
    <row r="20" spans="1:17" ht="15.95" customHeight="1" x14ac:dyDescent="0.25">
      <c r="A20" s="44" t="s">
        <v>18</v>
      </c>
      <c r="B20" s="47" t="s">
        <v>31</v>
      </c>
      <c r="C20" s="67">
        <v>22410</v>
      </c>
      <c r="D20" s="12">
        <v>92671</v>
      </c>
      <c r="E20" s="14">
        <f>D20/C20</f>
        <v>4.1352521195894694</v>
      </c>
      <c r="F20" s="12">
        <v>96749</v>
      </c>
      <c r="G20" s="12">
        <f>D20-F20</f>
        <v>-4078</v>
      </c>
      <c r="H20" s="14">
        <f>G20/D20*100</f>
        <v>-4.4005136450453755</v>
      </c>
      <c r="I20" s="12">
        <v>34938</v>
      </c>
      <c r="J20" s="12">
        <v>37705</v>
      </c>
      <c r="K20" s="49">
        <f>I20-J20</f>
        <v>-2767</v>
      </c>
      <c r="L20" s="55" t="s">
        <v>15</v>
      </c>
      <c r="M20" s="55" t="s">
        <v>15</v>
      </c>
      <c r="N20" s="55" t="s">
        <v>15</v>
      </c>
      <c r="O20" s="55">
        <v>57733</v>
      </c>
      <c r="P20" s="55">
        <v>59044</v>
      </c>
      <c r="Q20" s="55">
        <f>O20-P20</f>
        <v>-1311</v>
      </c>
    </row>
    <row r="21" spans="1:17" ht="15.95" customHeight="1" x14ac:dyDescent="0.25">
      <c r="A21" s="44" t="s">
        <v>20</v>
      </c>
      <c r="B21" s="47" t="s">
        <v>32</v>
      </c>
      <c r="C21" s="67">
        <v>38290</v>
      </c>
      <c r="D21" s="12">
        <v>143919</v>
      </c>
      <c r="E21" s="14">
        <f>D21/C21</f>
        <v>3.7586576129537739</v>
      </c>
      <c r="F21" s="12">
        <v>141513</v>
      </c>
      <c r="G21" s="12">
        <f>D21-F21</f>
        <v>2406</v>
      </c>
      <c r="H21" s="14">
        <f>G21/D21*100</f>
        <v>1.6717737060429825</v>
      </c>
      <c r="I21" s="12">
        <v>52832</v>
      </c>
      <c r="J21" s="12">
        <v>51951</v>
      </c>
      <c r="K21" s="49">
        <f>I21-J21</f>
        <v>881</v>
      </c>
      <c r="L21" s="55">
        <v>11278</v>
      </c>
      <c r="M21" s="55">
        <v>13462</v>
      </c>
      <c r="N21" s="55">
        <f>L21-M21</f>
        <v>-2184</v>
      </c>
      <c r="O21" s="55">
        <v>79809</v>
      </c>
      <c r="P21" s="55">
        <v>76100</v>
      </c>
      <c r="Q21" s="55">
        <f>O21-P21</f>
        <v>3709</v>
      </c>
    </row>
    <row r="22" spans="1:17" ht="15.95" customHeight="1" x14ac:dyDescent="0.25">
      <c r="A22" s="158" t="s">
        <v>34</v>
      </c>
      <c r="B22" s="159"/>
      <c r="C22" s="39">
        <f t="shared" ref="C22:Q22" si="6">SUM(C18:C21)</f>
        <v>93695</v>
      </c>
      <c r="D22" s="22">
        <f t="shared" si="6"/>
        <v>422818</v>
      </c>
      <c r="E22" s="24">
        <f t="shared" si="6"/>
        <v>21.783130981707419</v>
      </c>
      <c r="F22" s="22">
        <f t="shared" si="6"/>
        <v>446801</v>
      </c>
      <c r="G22" s="22">
        <f t="shared" si="6"/>
        <v>-255527</v>
      </c>
      <c r="H22" s="22">
        <f t="shared" si="6"/>
        <v>-221.96134997492766</v>
      </c>
      <c r="I22" s="22">
        <f t="shared" si="6"/>
        <v>174271</v>
      </c>
      <c r="J22" s="22">
        <f t="shared" si="6"/>
        <v>188534</v>
      </c>
      <c r="K22" s="50">
        <f t="shared" si="6"/>
        <v>-14263</v>
      </c>
      <c r="L22" s="56">
        <f t="shared" si="6"/>
        <v>17205</v>
      </c>
      <c r="M22" s="56">
        <f t="shared" si="6"/>
        <v>24419</v>
      </c>
      <c r="N22" s="56">
        <f t="shared" si="6"/>
        <v>-7214</v>
      </c>
      <c r="O22" s="56">
        <f t="shared" si="6"/>
        <v>231342</v>
      </c>
      <c r="P22" s="56">
        <f t="shared" si="6"/>
        <v>233848</v>
      </c>
      <c r="Q22" s="56">
        <f t="shared" si="6"/>
        <v>-2506</v>
      </c>
    </row>
    <row r="23" spans="1:17" ht="15.95" customHeight="1" x14ac:dyDescent="0.25">
      <c r="A23" s="160" t="s">
        <v>36</v>
      </c>
      <c r="B23" s="161"/>
      <c r="C23" s="39">
        <f t="shared" ref="C23:K23" si="7">C22/4</f>
        <v>23423.75</v>
      </c>
      <c r="D23" s="22">
        <f t="shared" si="7"/>
        <v>105704.5</v>
      </c>
      <c r="E23" s="24">
        <f t="shared" si="7"/>
        <v>5.4457827454268548</v>
      </c>
      <c r="F23" s="59">
        <f t="shared" si="7"/>
        <v>111700.25</v>
      </c>
      <c r="G23" s="22">
        <f t="shared" si="7"/>
        <v>-63881.75</v>
      </c>
      <c r="H23" s="22">
        <f t="shared" si="7"/>
        <v>-55.490337493731914</v>
      </c>
      <c r="I23" s="22">
        <f t="shared" si="7"/>
        <v>43567.75</v>
      </c>
      <c r="J23" s="22">
        <f t="shared" si="7"/>
        <v>47133.5</v>
      </c>
      <c r="K23" s="22">
        <f t="shared" si="7"/>
        <v>-3565.75</v>
      </c>
      <c r="L23" s="56">
        <f>L22/2</f>
        <v>8602.5</v>
      </c>
      <c r="M23" s="56">
        <f>M22/2</f>
        <v>12209.5</v>
      </c>
      <c r="N23" s="56">
        <f>N22/2</f>
        <v>-3607</v>
      </c>
      <c r="O23" s="56">
        <f>O22/4</f>
        <v>57835.5</v>
      </c>
      <c r="P23" s="56">
        <f>P22/4</f>
        <v>58462</v>
      </c>
      <c r="Q23" s="56">
        <f>Q22/4</f>
        <v>-626.5</v>
      </c>
    </row>
    <row r="24" spans="1:17" ht="30.75" customHeight="1" x14ac:dyDescent="0.25">
      <c r="A24" s="156" t="s">
        <v>33</v>
      </c>
      <c r="B24" s="157"/>
      <c r="C24" s="26">
        <f t="shared" ref="C24:Q24" si="8">SUM(C15,C22)</f>
        <v>411417</v>
      </c>
      <c r="D24" s="26">
        <f t="shared" si="8"/>
        <v>1720810</v>
      </c>
      <c r="E24" s="28">
        <f t="shared" si="8"/>
        <v>57.565616343888678</v>
      </c>
      <c r="F24" s="26">
        <f t="shared" si="8"/>
        <v>1640916</v>
      </c>
      <c r="G24" s="26">
        <f t="shared" si="8"/>
        <v>-151650</v>
      </c>
      <c r="H24" s="26">
        <f t="shared" si="8"/>
        <v>-179.08792437425424</v>
      </c>
      <c r="I24" s="26">
        <f t="shared" si="8"/>
        <v>724278</v>
      </c>
      <c r="J24" s="26">
        <f t="shared" si="8"/>
        <v>620885</v>
      </c>
      <c r="K24" s="51">
        <f t="shared" si="8"/>
        <v>103393</v>
      </c>
      <c r="L24" s="62">
        <f t="shared" si="8"/>
        <v>348869</v>
      </c>
      <c r="M24" s="62">
        <f t="shared" si="8"/>
        <v>355964</v>
      </c>
      <c r="N24" s="62">
        <f t="shared" si="8"/>
        <v>-7095</v>
      </c>
      <c r="O24" s="62">
        <f t="shared" si="8"/>
        <v>647663</v>
      </c>
      <c r="P24" s="62">
        <f t="shared" si="8"/>
        <v>653237</v>
      </c>
      <c r="Q24" s="62">
        <f t="shared" si="8"/>
        <v>-5574</v>
      </c>
    </row>
    <row r="25" spans="1:17" ht="34.5" customHeight="1" x14ac:dyDescent="0.25">
      <c r="A25" s="156" t="s">
        <v>35</v>
      </c>
      <c r="B25" s="157"/>
      <c r="C25" s="26">
        <f t="shared" ref="C25:K25" si="9">C24/11</f>
        <v>37401.545454545456</v>
      </c>
      <c r="D25" s="26">
        <f t="shared" si="9"/>
        <v>156437.27272727274</v>
      </c>
      <c r="E25" s="28">
        <f t="shared" si="9"/>
        <v>5.2332378494444249</v>
      </c>
      <c r="F25" s="26">
        <f t="shared" si="9"/>
        <v>149174.18181818182</v>
      </c>
      <c r="G25" s="26">
        <f t="shared" si="9"/>
        <v>-13786.363636363636</v>
      </c>
      <c r="H25" s="26">
        <f t="shared" si="9"/>
        <v>-16.280720397659476</v>
      </c>
      <c r="I25" s="26">
        <f t="shared" si="9"/>
        <v>65843.454545454544</v>
      </c>
      <c r="J25" s="26">
        <f t="shared" si="9"/>
        <v>56444.090909090912</v>
      </c>
      <c r="K25" s="26">
        <f t="shared" si="9"/>
        <v>9399.363636363636</v>
      </c>
      <c r="L25" s="26">
        <f>L24/7</f>
        <v>49838.428571428572</v>
      </c>
      <c r="M25" s="51">
        <f>M24/7</f>
        <v>50852</v>
      </c>
      <c r="N25" s="34">
        <f>N24/7</f>
        <v>-1013.5714285714286</v>
      </c>
      <c r="O25" s="62">
        <f>O24/8</f>
        <v>80957.875</v>
      </c>
      <c r="P25" s="62">
        <f>P24/8</f>
        <v>81654.625</v>
      </c>
      <c r="Q25" s="62">
        <f>Q24/8</f>
        <v>-696.75</v>
      </c>
    </row>
  </sheetData>
  <mergeCells count="30">
    <mergeCell ref="O4:Q4"/>
    <mergeCell ref="P5:P6"/>
    <mergeCell ref="Q5:Q6"/>
    <mergeCell ref="A2:Q2"/>
    <mergeCell ref="C4:C6"/>
    <mergeCell ref="B4:B6"/>
    <mergeCell ref="A4:A6"/>
    <mergeCell ref="I4:K4"/>
    <mergeCell ref="L4:N4"/>
    <mergeCell ref="M5:M6"/>
    <mergeCell ref="J5:J6"/>
    <mergeCell ref="I5:I6"/>
    <mergeCell ref="D4:H4"/>
    <mergeCell ref="F5:F6"/>
    <mergeCell ref="G5:G6"/>
    <mergeCell ref="K5:K6"/>
    <mergeCell ref="A24:B24"/>
    <mergeCell ref="A25:B25"/>
    <mergeCell ref="A7:K7"/>
    <mergeCell ref="A15:B15"/>
    <mergeCell ref="A17:K17"/>
    <mergeCell ref="A22:B22"/>
    <mergeCell ref="A16:B16"/>
    <mergeCell ref="A23:B23"/>
    <mergeCell ref="L5:L6"/>
    <mergeCell ref="N5:N6"/>
    <mergeCell ref="O5:O6"/>
    <mergeCell ref="D5:D6"/>
    <mergeCell ref="E5:E6"/>
    <mergeCell ref="H5:H6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5"/>
  <sheetViews>
    <sheetView workbookViewId="0">
      <selection activeCell="N25" sqref="N25"/>
    </sheetView>
  </sheetViews>
  <sheetFormatPr defaultRowHeight="15" x14ac:dyDescent="0.25"/>
  <cols>
    <col min="1" max="1" width="5.140625" customWidth="1"/>
    <col min="2" max="2" width="27.7109375" customWidth="1"/>
    <col min="3" max="3" width="10.5703125" customWidth="1"/>
    <col min="4" max="4" width="9.85546875" customWidth="1"/>
    <col min="5" max="5" width="10.42578125" customWidth="1"/>
    <col min="7" max="7" width="9.5703125" bestFit="1" customWidth="1"/>
    <col min="8" max="8" width="10" customWidth="1"/>
    <col min="11" max="11" width="9.85546875" customWidth="1"/>
    <col min="14" max="14" width="10.28515625" customWidth="1"/>
  </cols>
  <sheetData>
    <row r="2" spans="1:14" ht="15.75" x14ac:dyDescent="0.25">
      <c r="A2" s="136" t="s">
        <v>68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</row>
    <row r="4" spans="1:14" ht="9.75" customHeight="1" x14ac:dyDescent="0.25">
      <c r="A4" s="118" t="s">
        <v>3</v>
      </c>
      <c r="B4" s="141" t="s">
        <v>4</v>
      </c>
      <c r="C4" s="146" t="s">
        <v>61</v>
      </c>
      <c r="D4" s="147"/>
      <c r="E4" s="147"/>
      <c r="F4" s="146" t="s">
        <v>7</v>
      </c>
      <c r="G4" s="147"/>
      <c r="H4" s="148"/>
      <c r="I4" s="146" t="s">
        <v>57</v>
      </c>
      <c r="J4" s="147"/>
      <c r="K4" s="148"/>
      <c r="L4" s="146" t="s">
        <v>58</v>
      </c>
      <c r="M4" s="147"/>
      <c r="N4" s="148"/>
    </row>
    <row r="5" spans="1:14" ht="8.25" customHeight="1" x14ac:dyDescent="0.25">
      <c r="A5" s="143"/>
      <c r="B5" s="163"/>
      <c r="C5" s="149"/>
      <c r="D5" s="150"/>
      <c r="E5" s="150"/>
      <c r="F5" s="149"/>
      <c r="G5" s="150"/>
      <c r="H5" s="151"/>
      <c r="I5" s="149"/>
      <c r="J5" s="150"/>
      <c r="K5" s="151"/>
      <c r="L5" s="149"/>
      <c r="M5" s="150"/>
      <c r="N5" s="151"/>
    </row>
    <row r="6" spans="1:14" ht="23.25" customHeight="1" x14ac:dyDescent="0.25">
      <c r="A6" s="143"/>
      <c r="B6" s="163"/>
      <c r="C6" s="80" t="s">
        <v>67</v>
      </c>
      <c r="D6" s="80" t="s">
        <v>45</v>
      </c>
      <c r="E6" s="80" t="s">
        <v>63</v>
      </c>
      <c r="F6" s="80" t="s">
        <v>55</v>
      </c>
      <c r="G6" s="80" t="s">
        <v>45</v>
      </c>
      <c r="H6" s="80" t="s">
        <v>63</v>
      </c>
      <c r="I6" s="80" t="s">
        <v>55</v>
      </c>
      <c r="J6" s="80" t="s">
        <v>45</v>
      </c>
      <c r="K6" s="80" t="s">
        <v>63</v>
      </c>
      <c r="L6" s="80" t="s">
        <v>55</v>
      </c>
      <c r="M6" s="80" t="s">
        <v>45</v>
      </c>
      <c r="N6" s="80" t="s">
        <v>63</v>
      </c>
    </row>
    <row r="7" spans="1:14" ht="15.75" x14ac:dyDescent="0.25">
      <c r="A7" s="165" t="s">
        <v>11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7"/>
    </row>
    <row r="8" spans="1:14" ht="15.95" customHeight="1" x14ac:dyDescent="0.25">
      <c r="A8" s="44" t="s">
        <v>12</v>
      </c>
      <c r="B8" s="47" t="s">
        <v>13</v>
      </c>
      <c r="C8" s="12">
        <f>81260+7821</f>
        <v>89081</v>
      </c>
      <c r="D8" s="12">
        <f>88881+6965</f>
        <v>95846</v>
      </c>
      <c r="E8" s="12">
        <f t="shared" ref="E8:E14" si="0">C8-D8</f>
        <v>-6765</v>
      </c>
      <c r="F8" s="12">
        <v>10256</v>
      </c>
      <c r="G8" s="12">
        <v>15613</v>
      </c>
      <c r="H8" s="49">
        <f t="shared" ref="H8:H14" si="1">F8-G8</f>
        <v>-5357</v>
      </c>
      <c r="I8" s="65">
        <f>63183+7821</f>
        <v>71004</v>
      </c>
      <c r="J8" s="65">
        <f>66303+6965</f>
        <v>73268</v>
      </c>
      <c r="K8" s="65">
        <f>I8-J8</f>
        <v>-2264</v>
      </c>
      <c r="L8" s="65" t="s">
        <v>15</v>
      </c>
      <c r="M8" s="65" t="s">
        <v>15</v>
      </c>
      <c r="N8" s="65" t="s">
        <v>15</v>
      </c>
    </row>
    <row r="9" spans="1:14" ht="15.95" customHeight="1" x14ac:dyDescent="0.25">
      <c r="A9" s="44" t="s">
        <v>16</v>
      </c>
      <c r="B9" s="47" t="s">
        <v>17</v>
      </c>
      <c r="C9" s="12">
        <v>116027</v>
      </c>
      <c r="D9" s="12">
        <v>117295</v>
      </c>
      <c r="E9" s="12">
        <f t="shared" si="0"/>
        <v>-1268</v>
      </c>
      <c r="F9" s="12">
        <v>32397</v>
      </c>
      <c r="G9" s="12">
        <v>34177</v>
      </c>
      <c r="H9" s="49">
        <f t="shared" si="1"/>
        <v>-1780</v>
      </c>
      <c r="I9" s="65">
        <v>7724</v>
      </c>
      <c r="J9" s="65">
        <v>7016</v>
      </c>
      <c r="K9" s="65">
        <f>I9-J9</f>
        <v>708</v>
      </c>
      <c r="L9" s="65">
        <v>75906</v>
      </c>
      <c r="M9" s="65">
        <v>76102</v>
      </c>
      <c r="N9" s="65">
        <f>L9-M9</f>
        <v>-196</v>
      </c>
    </row>
    <row r="10" spans="1:14" ht="15.95" customHeight="1" x14ac:dyDescent="0.25">
      <c r="A10" s="44" t="s">
        <v>18</v>
      </c>
      <c r="B10" s="47" t="s">
        <v>19</v>
      </c>
      <c r="C10" s="12">
        <v>101300</v>
      </c>
      <c r="D10" s="12">
        <v>47281</v>
      </c>
      <c r="E10" s="12">
        <f t="shared" si="0"/>
        <v>54019</v>
      </c>
      <c r="F10" s="12">
        <v>71752</v>
      </c>
      <c r="G10" s="12">
        <v>16385</v>
      </c>
      <c r="H10" s="49">
        <f t="shared" si="1"/>
        <v>55367</v>
      </c>
      <c r="I10" s="65">
        <v>3242</v>
      </c>
      <c r="J10" s="65">
        <v>2532</v>
      </c>
      <c r="K10" s="65">
        <f>I10-J10</f>
        <v>710</v>
      </c>
      <c r="L10" s="65">
        <v>26306</v>
      </c>
      <c r="M10" s="65">
        <v>28364</v>
      </c>
      <c r="N10" s="65">
        <f>L10-M10</f>
        <v>-2058</v>
      </c>
    </row>
    <row r="11" spans="1:14" ht="15.95" customHeight="1" x14ac:dyDescent="0.25">
      <c r="A11" s="44" t="s">
        <v>20</v>
      </c>
      <c r="B11" s="47" t="s">
        <v>21</v>
      </c>
      <c r="C11" s="12">
        <v>2833</v>
      </c>
      <c r="D11" s="12">
        <v>2709</v>
      </c>
      <c r="E11" s="12">
        <f t="shared" si="0"/>
        <v>124</v>
      </c>
      <c r="F11" s="12">
        <v>945</v>
      </c>
      <c r="G11" s="12">
        <v>1095</v>
      </c>
      <c r="H11" s="49">
        <f t="shared" si="1"/>
        <v>-150</v>
      </c>
      <c r="I11" s="65">
        <v>1888</v>
      </c>
      <c r="J11" s="65">
        <v>1614</v>
      </c>
      <c r="K11" s="65">
        <f>I11-J11</f>
        <v>274</v>
      </c>
      <c r="L11" s="65" t="s">
        <v>15</v>
      </c>
      <c r="M11" s="65" t="s">
        <v>15</v>
      </c>
      <c r="N11" s="65" t="s">
        <v>15</v>
      </c>
    </row>
    <row r="12" spans="1:14" ht="15.95" customHeight="1" x14ac:dyDescent="0.25">
      <c r="A12" s="44" t="s">
        <v>22</v>
      </c>
      <c r="B12" s="47" t="s">
        <v>23</v>
      </c>
      <c r="C12" s="12">
        <v>25856</v>
      </c>
      <c r="D12" s="12">
        <v>24970</v>
      </c>
      <c r="E12" s="12">
        <f t="shared" si="0"/>
        <v>886</v>
      </c>
      <c r="F12" s="12">
        <v>25856</v>
      </c>
      <c r="G12" s="12">
        <v>24970</v>
      </c>
      <c r="H12" s="49">
        <f t="shared" si="1"/>
        <v>886</v>
      </c>
      <c r="I12" s="65" t="s">
        <v>15</v>
      </c>
      <c r="J12" s="65" t="s">
        <v>15</v>
      </c>
      <c r="K12" s="65" t="s">
        <v>15</v>
      </c>
      <c r="L12" s="65" t="s">
        <v>15</v>
      </c>
      <c r="M12" s="65" t="s">
        <v>15</v>
      </c>
      <c r="N12" s="65" t="s">
        <v>15</v>
      </c>
    </row>
    <row r="13" spans="1:14" ht="15.95" customHeight="1" x14ac:dyDescent="0.25">
      <c r="A13" s="44" t="s">
        <v>24</v>
      </c>
      <c r="B13" s="47" t="s">
        <v>25</v>
      </c>
      <c r="C13" s="12">
        <v>20670</v>
      </c>
      <c r="D13" s="12">
        <v>22531</v>
      </c>
      <c r="E13" s="12">
        <f t="shared" si="0"/>
        <v>-1861</v>
      </c>
      <c r="F13" s="12">
        <v>9596</v>
      </c>
      <c r="G13" s="12">
        <v>10964</v>
      </c>
      <c r="H13" s="49">
        <f t="shared" si="1"/>
        <v>-1368</v>
      </c>
      <c r="I13" s="65">
        <v>27</v>
      </c>
      <c r="J13" s="65">
        <v>94</v>
      </c>
      <c r="K13" s="65">
        <f>I13-J13</f>
        <v>-67</v>
      </c>
      <c r="L13" s="65">
        <v>11047</v>
      </c>
      <c r="M13" s="65">
        <v>11473</v>
      </c>
      <c r="N13" s="65">
        <f>L13-M13</f>
        <v>-426</v>
      </c>
    </row>
    <row r="14" spans="1:14" ht="15.95" customHeight="1" x14ac:dyDescent="0.25">
      <c r="A14" s="44" t="s">
        <v>26</v>
      </c>
      <c r="B14" s="47" t="s">
        <v>27</v>
      </c>
      <c r="C14" s="12">
        <v>85371</v>
      </c>
      <c r="D14" s="12">
        <v>85507</v>
      </c>
      <c r="E14" s="12">
        <f t="shared" si="0"/>
        <v>-136</v>
      </c>
      <c r="F14" s="12">
        <v>17713</v>
      </c>
      <c r="G14" s="12">
        <v>10365</v>
      </c>
      <c r="H14" s="49">
        <f t="shared" si="1"/>
        <v>7348</v>
      </c>
      <c r="I14" s="65" t="s">
        <v>15</v>
      </c>
      <c r="J14" s="65" t="s">
        <v>15</v>
      </c>
      <c r="K14" s="65" t="s">
        <v>15</v>
      </c>
      <c r="L14" s="65">
        <v>67658</v>
      </c>
      <c r="M14" s="65">
        <v>75142</v>
      </c>
      <c r="N14" s="65">
        <f>L14-M14</f>
        <v>-7484</v>
      </c>
    </row>
    <row r="15" spans="1:14" ht="15.95" customHeight="1" x14ac:dyDescent="0.25">
      <c r="A15" s="112" t="s">
        <v>34</v>
      </c>
      <c r="B15" s="113"/>
      <c r="C15" s="22">
        <f t="shared" ref="C15:N15" si="2">SUM(C8:C14)</f>
        <v>441138</v>
      </c>
      <c r="D15" s="59">
        <f t="shared" si="2"/>
        <v>396139</v>
      </c>
      <c r="E15" s="22">
        <f t="shared" si="2"/>
        <v>44999</v>
      </c>
      <c r="F15" s="22">
        <f t="shared" si="2"/>
        <v>168515</v>
      </c>
      <c r="G15" s="22">
        <f t="shared" si="2"/>
        <v>113569</v>
      </c>
      <c r="H15" s="50">
        <f t="shared" si="2"/>
        <v>54946</v>
      </c>
      <c r="I15" s="21">
        <f t="shared" si="2"/>
        <v>83885</v>
      </c>
      <c r="J15" s="21">
        <f t="shared" si="2"/>
        <v>84524</v>
      </c>
      <c r="K15" s="21">
        <f t="shared" si="2"/>
        <v>-639</v>
      </c>
      <c r="L15" s="21">
        <f t="shared" si="2"/>
        <v>180917</v>
      </c>
      <c r="M15" s="21">
        <f t="shared" si="2"/>
        <v>191081</v>
      </c>
      <c r="N15" s="21">
        <f t="shared" si="2"/>
        <v>-10164</v>
      </c>
    </row>
    <row r="16" spans="1:14" ht="15.95" customHeight="1" x14ac:dyDescent="0.25">
      <c r="A16" s="168" t="s">
        <v>36</v>
      </c>
      <c r="B16" s="168"/>
      <c r="C16" s="22">
        <f t="shared" ref="C16:H16" si="3">C15/7</f>
        <v>63019.714285714283</v>
      </c>
      <c r="D16" s="59">
        <f t="shared" si="3"/>
        <v>56591.285714285717</v>
      </c>
      <c r="E16" s="22">
        <f t="shared" si="3"/>
        <v>6428.4285714285716</v>
      </c>
      <c r="F16" s="22">
        <f t="shared" si="3"/>
        <v>24073.571428571428</v>
      </c>
      <c r="G16" s="22">
        <f t="shared" si="3"/>
        <v>16224.142857142857</v>
      </c>
      <c r="H16" s="22">
        <f t="shared" si="3"/>
        <v>7849.4285714285716</v>
      </c>
      <c r="I16" s="22">
        <f>I15/5</f>
        <v>16777</v>
      </c>
      <c r="J16" s="22">
        <f>J15/5</f>
        <v>16904.8</v>
      </c>
      <c r="K16" s="22">
        <f>K15/5</f>
        <v>-127.8</v>
      </c>
      <c r="L16" s="22">
        <f>L15/4</f>
        <v>45229.25</v>
      </c>
      <c r="M16" s="22">
        <f>M15/4</f>
        <v>47770.25</v>
      </c>
      <c r="N16" s="22">
        <f>N15/4</f>
        <v>-2541</v>
      </c>
    </row>
    <row r="17" spans="1:14" ht="15.95" customHeight="1" x14ac:dyDescent="0.25">
      <c r="A17" s="165" t="s">
        <v>28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7"/>
    </row>
    <row r="18" spans="1:14" ht="15.95" customHeight="1" x14ac:dyDescent="0.25">
      <c r="A18" s="44" t="s">
        <v>12</v>
      </c>
      <c r="B18" s="47" t="s">
        <v>29</v>
      </c>
      <c r="C18" s="12">
        <v>47643</v>
      </c>
      <c r="D18" s="12">
        <v>52765</v>
      </c>
      <c r="E18" s="12">
        <f>C18-D18</f>
        <v>-5122</v>
      </c>
      <c r="F18" s="12">
        <v>14662</v>
      </c>
      <c r="G18" s="12">
        <v>18381</v>
      </c>
      <c r="H18" s="49">
        <f>F18-G18</f>
        <v>-3719</v>
      </c>
      <c r="I18" s="65">
        <v>2965</v>
      </c>
      <c r="J18" s="65">
        <v>2950</v>
      </c>
      <c r="K18" s="65">
        <f>I18-J18</f>
        <v>15</v>
      </c>
      <c r="L18" s="65">
        <v>30016</v>
      </c>
      <c r="M18" s="65">
        <v>31434</v>
      </c>
      <c r="N18" s="65">
        <f>L18-M18</f>
        <v>-1418</v>
      </c>
    </row>
    <row r="19" spans="1:14" ht="15.95" customHeight="1" x14ac:dyDescent="0.25">
      <c r="A19" s="44" t="s">
        <v>16</v>
      </c>
      <c r="B19" s="47" t="s">
        <v>30</v>
      </c>
      <c r="C19" s="12">
        <v>22461</v>
      </c>
      <c r="D19" s="12">
        <v>34231</v>
      </c>
      <c r="E19" s="12">
        <f>C19-D19</f>
        <v>-11770</v>
      </c>
      <c r="F19" s="12">
        <v>13228</v>
      </c>
      <c r="G19" s="12">
        <v>23662</v>
      </c>
      <c r="H19" s="49">
        <f>F19-G19</f>
        <v>-10434</v>
      </c>
      <c r="I19" s="65" t="s">
        <v>15</v>
      </c>
      <c r="J19" s="65" t="s">
        <v>15</v>
      </c>
      <c r="K19" s="65" t="s">
        <v>15</v>
      </c>
      <c r="L19" s="65">
        <v>9233</v>
      </c>
      <c r="M19" s="65">
        <v>10569</v>
      </c>
      <c r="N19" s="65">
        <f>L19-M19</f>
        <v>-1336</v>
      </c>
    </row>
    <row r="20" spans="1:14" ht="15.95" customHeight="1" x14ac:dyDescent="0.25">
      <c r="A20" s="44" t="s">
        <v>18</v>
      </c>
      <c r="B20" s="47" t="s">
        <v>31</v>
      </c>
      <c r="C20" s="12">
        <v>39809</v>
      </c>
      <c r="D20" s="12">
        <v>43512</v>
      </c>
      <c r="E20" s="12">
        <f>C20-D20</f>
        <v>-3703</v>
      </c>
      <c r="F20" s="12">
        <v>12638</v>
      </c>
      <c r="G20" s="12">
        <v>12910</v>
      </c>
      <c r="H20" s="49">
        <f>F20-G20</f>
        <v>-272</v>
      </c>
      <c r="I20" s="65" t="s">
        <v>15</v>
      </c>
      <c r="J20" s="65" t="s">
        <v>15</v>
      </c>
      <c r="K20" s="65" t="s">
        <v>15</v>
      </c>
      <c r="L20" s="65">
        <v>27171</v>
      </c>
      <c r="M20" s="65">
        <v>30602</v>
      </c>
      <c r="N20" s="65">
        <f>L20-M20</f>
        <v>-3431</v>
      </c>
    </row>
    <row r="21" spans="1:14" ht="15.95" customHeight="1" x14ac:dyDescent="0.25">
      <c r="A21" s="44" t="s">
        <v>20</v>
      </c>
      <c r="B21" s="47" t="s">
        <v>32</v>
      </c>
      <c r="C21" s="12">
        <v>54646</v>
      </c>
      <c r="D21" s="12">
        <v>55403</v>
      </c>
      <c r="E21" s="12">
        <f>C21-D21</f>
        <v>-757</v>
      </c>
      <c r="F21" s="12">
        <v>13679</v>
      </c>
      <c r="G21" s="12">
        <v>13665</v>
      </c>
      <c r="H21" s="49">
        <f>F21-G21</f>
        <v>14</v>
      </c>
      <c r="I21" s="65">
        <v>6377</v>
      </c>
      <c r="J21" s="65">
        <v>7618</v>
      </c>
      <c r="K21" s="65">
        <f>I21-J21</f>
        <v>-1241</v>
      </c>
      <c r="L21" s="65">
        <v>34590</v>
      </c>
      <c r="M21" s="65">
        <v>34120</v>
      </c>
      <c r="N21" s="65">
        <f>L21-M21</f>
        <v>470</v>
      </c>
    </row>
    <row r="22" spans="1:14" ht="15.95" customHeight="1" x14ac:dyDescent="0.25">
      <c r="A22" s="112" t="s">
        <v>34</v>
      </c>
      <c r="B22" s="113"/>
      <c r="C22" s="22">
        <f t="shared" ref="C22:N22" si="4">SUM(C18:C21)</f>
        <v>164559</v>
      </c>
      <c r="D22" s="22">
        <f t="shared" si="4"/>
        <v>185911</v>
      </c>
      <c r="E22" s="22">
        <f t="shared" si="4"/>
        <v>-21352</v>
      </c>
      <c r="F22" s="22">
        <f t="shared" si="4"/>
        <v>54207</v>
      </c>
      <c r="G22" s="22">
        <f t="shared" si="4"/>
        <v>68618</v>
      </c>
      <c r="H22" s="50">
        <f t="shared" si="4"/>
        <v>-14411</v>
      </c>
      <c r="I22" s="21">
        <f t="shared" si="4"/>
        <v>9342</v>
      </c>
      <c r="J22" s="21">
        <f t="shared" si="4"/>
        <v>10568</v>
      </c>
      <c r="K22" s="21">
        <f t="shared" si="4"/>
        <v>-1226</v>
      </c>
      <c r="L22" s="21">
        <f t="shared" si="4"/>
        <v>101010</v>
      </c>
      <c r="M22" s="21">
        <f t="shared" si="4"/>
        <v>106725</v>
      </c>
      <c r="N22" s="21">
        <f t="shared" si="4"/>
        <v>-5715</v>
      </c>
    </row>
    <row r="23" spans="1:14" ht="15.95" customHeight="1" x14ac:dyDescent="0.25">
      <c r="A23" s="168" t="s">
        <v>36</v>
      </c>
      <c r="B23" s="168"/>
      <c r="C23" s="22">
        <f t="shared" ref="C23:H23" si="5">C22/4</f>
        <v>41139.75</v>
      </c>
      <c r="D23" s="22">
        <f t="shared" si="5"/>
        <v>46477.75</v>
      </c>
      <c r="E23" s="22">
        <f t="shared" si="5"/>
        <v>-5338</v>
      </c>
      <c r="F23" s="22">
        <f t="shared" si="5"/>
        <v>13551.75</v>
      </c>
      <c r="G23" s="22">
        <f t="shared" si="5"/>
        <v>17154.5</v>
      </c>
      <c r="H23" s="50">
        <f t="shared" si="5"/>
        <v>-3602.75</v>
      </c>
      <c r="I23" s="22">
        <f>I22/2</f>
        <v>4671</v>
      </c>
      <c r="J23" s="22">
        <f>J22/2</f>
        <v>5284</v>
      </c>
      <c r="K23" s="22">
        <f>K22/2</f>
        <v>-613</v>
      </c>
      <c r="L23" s="22">
        <f>L22/4</f>
        <v>25252.5</v>
      </c>
      <c r="M23" s="22">
        <f>M22/4</f>
        <v>26681.25</v>
      </c>
      <c r="N23" s="22">
        <f>N22/4</f>
        <v>-1428.75</v>
      </c>
    </row>
    <row r="24" spans="1:14" ht="29.25" customHeight="1" x14ac:dyDescent="0.25">
      <c r="A24" s="108" t="s">
        <v>33</v>
      </c>
      <c r="B24" s="109"/>
      <c r="C24" s="26">
        <f t="shared" ref="C24:N24" si="6">SUM(C15,C22)</f>
        <v>605697</v>
      </c>
      <c r="D24" s="26">
        <f t="shared" si="6"/>
        <v>582050</v>
      </c>
      <c r="E24" s="26">
        <f t="shared" si="6"/>
        <v>23647</v>
      </c>
      <c r="F24" s="26">
        <f t="shared" si="6"/>
        <v>222722</v>
      </c>
      <c r="G24" s="26">
        <f t="shared" si="6"/>
        <v>182187</v>
      </c>
      <c r="H24" s="51">
        <f t="shared" si="6"/>
        <v>40535</v>
      </c>
      <c r="I24" s="33">
        <f t="shared" si="6"/>
        <v>93227</v>
      </c>
      <c r="J24" s="33">
        <f t="shared" si="6"/>
        <v>95092</v>
      </c>
      <c r="K24" s="33">
        <f t="shared" si="6"/>
        <v>-1865</v>
      </c>
      <c r="L24" s="33">
        <f t="shared" si="6"/>
        <v>281927</v>
      </c>
      <c r="M24" s="33">
        <f t="shared" si="6"/>
        <v>297806</v>
      </c>
      <c r="N24" s="33">
        <f t="shared" si="6"/>
        <v>-15879</v>
      </c>
    </row>
    <row r="25" spans="1:14" ht="30.75" customHeight="1" x14ac:dyDescent="0.25">
      <c r="A25" s="108" t="s">
        <v>35</v>
      </c>
      <c r="B25" s="109"/>
      <c r="C25" s="26">
        <f t="shared" ref="C25:H25" si="7">C24/11</f>
        <v>55063.36363636364</v>
      </c>
      <c r="D25" s="26">
        <f t="shared" si="7"/>
        <v>52913.63636363636</v>
      </c>
      <c r="E25" s="26">
        <f t="shared" si="7"/>
        <v>2149.7272727272725</v>
      </c>
      <c r="F25" s="26">
        <f t="shared" si="7"/>
        <v>20247.454545454544</v>
      </c>
      <c r="G25" s="26">
        <f t="shared" si="7"/>
        <v>16562.454545454544</v>
      </c>
      <c r="H25" s="26">
        <f t="shared" si="7"/>
        <v>3685</v>
      </c>
      <c r="I25" s="26">
        <f>I24/7</f>
        <v>13318.142857142857</v>
      </c>
      <c r="J25" s="51">
        <f>J24/7</f>
        <v>13584.571428571429</v>
      </c>
      <c r="K25" s="34">
        <f>K24/7</f>
        <v>-266.42857142857144</v>
      </c>
      <c r="L25" s="34">
        <f>L24/8</f>
        <v>35240.875</v>
      </c>
      <c r="M25" s="34">
        <f>M24/8</f>
        <v>37225.75</v>
      </c>
      <c r="N25" s="34">
        <f>N24/8</f>
        <v>-1984.875</v>
      </c>
    </row>
  </sheetData>
  <mergeCells count="15">
    <mergeCell ref="A25:B25"/>
    <mergeCell ref="A17:N17"/>
    <mergeCell ref="A7:N7"/>
    <mergeCell ref="A2:N2"/>
    <mergeCell ref="A15:B15"/>
    <mergeCell ref="A22:B22"/>
    <mergeCell ref="A24:B24"/>
    <mergeCell ref="L4:N5"/>
    <mergeCell ref="A4:A6"/>
    <mergeCell ref="B4:B6"/>
    <mergeCell ref="C4:E5"/>
    <mergeCell ref="F4:H5"/>
    <mergeCell ref="I4:K5"/>
    <mergeCell ref="A16:B16"/>
    <mergeCell ref="A23:B23"/>
  </mergeCells>
  <pageMargins left="0.70000000000000007" right="0.70000000000000007" top="0.75" bottom="0.75" header="0.30000000000000004" footer="0.30000000000000004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N37"/>
  <sheetViews>
    <sheetView topLeftCell="A4" workbookViewId="0">
      <selection activeCell="F19" sqref="F19"/>
    </sheetView>
  </sheetViews>
  <sheetFormatPr defaultRowHeight="15" x14ac:dyDescent="0.25"/>
  <cols>
    <col min="1" max="1" width="5" customWidth="1"/>
    <col min="2" max="2" width="28" customWidth="1"/>
    <col min="3" max="3" width="10.5703125" customWidth="1"/>
    <col min="5" max="5" width="9.85546875" customWidth="1"/>
    <col min="8" max="8" width="10" customWidth="1"/>
    <col min="11" max="11" width="10" customWidth="1"/>
    <col min="14" max="14" width="10.140625" customWidth="1"/>
  </cols>
  <sheetData>
    <row r="2" spans="1:14" ht="15.75" x14ac:dyDescent="0.25">
      <c r="A2" s="136" t="s">
        <v>88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</row>
    <row r="3" spans="1:14" ht="15.75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14" ht="24" customHeight="1" x14ac:dyDescent="0.25">
      <c r="A4" s="118" t="s">
        <v>3</v>
      </c>
      <c r="B4" s="141" t="s">
        <v>4</v>
      </c>
      <c r="C4" s="139" t="s">
        <v>61</v>
      </c>
      <c r="D4" s="140"/>
      <c r="E4" s="155"/>
      <c r="F4" s="139" t="s">
        <v>7</v>
      </c>
      <c r="G4" s="140"/>
      <c r="H4" s="155"/>
      <c r="I4" s="139" t="s">
        <v>57</v>
      </c>
      <c r="J4" s="140"/>
      <c r="K4" s="155"/>
      <c r="L4" s="139" t="s">
        <v>58</v>
      </c>
      <c r="M4" s="140"/>
      <c r="N4" s="155"/>
    </row>
    <row r="5" spans="1:14" ht="26.25" customHeight="1" x14ac:dyDescent="0.25">
      <c r="A5" s="143"/>
      <c r="B5" s="163"/>
      <c r="C5" s="81" t="s">
        <v>67</v>
      </c>
      <c r="D5" s="81" t="s">
        <v>45</v>
      </c>
      <c r="E5" s="81" t="s">
        <v>63</v>
      </c>
      <c r="F5" s="81" t="s">
        <v>55</v>
      </c>
      <c r="G5" s="81" t="s">
        <v>45</v>
      </c>
      <c r="H5" s="81" t="s">
        <v>63</v>
      </c>
      <c r="I5" s="81" t="s">
        <v>55</v>
      </c>
      <c r="J5" s="81" t="s">
        <v>45</v>
      </c>
      <c r="K5" s="81" t="s">
        <v>63</v>
      </c>
      <c r="L5" s="81" t="s">
        <v>55</v>
      </c>
      <c r="M5" s="81" t="s">
        <v>45</v>
      </c>
      <c r="N5" s="81" t="s">
        <v>63</v>
      </c>
    </row>
    <row r="6" spans="1:14" ht="15.95" customHeight="1" x14ac:dyDescent="0.25">
      <c r="A6" s="75" t="s">
        <v>11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7"/>
    </row>
    <row r="7" spans="1:14" ht="15.95" customHeight="1" x14ac:dyDescent="0.25">
      <c r="A7" s="44" t="s">
        <v>12</v>
      </c>
      <c r="B7" s="47" t="s">
        <v>13</v>
      </c>
      <c r="C7" s="12">
        <v>692018</v>
      </c>
      <c r="D7" s="12">
        <v>743817</v>
      </c>
      <c r="E7" s="12">
        <f t="shared" ref="E7:E13" si="0">C7-D7</f>
        <v>-51799</v>
      </c>
      <c r="F7" s="12">
        <v>241311</v>
      </c>
      <c r="G7" s="12">
        <v>239729</v>
      </c>
      <c r="H7" s="49">
        <f t="shared" ref="H7:H13" si="1">F7-G7</f>
        <v>1582</v>
      </c>
      <c r="I7" s="65">
        <f>429457+21250</f>
        <v>450707</v>
      </c>
      <c r="J7" s="65">
        <f>482922+21166</f>
        <v>504088</v>
      </c>
      <c r="K7" s="65">
        <f>I7-J7</f>
        <v>-53381</v>
      </c>
      <c r="L7" s="65" t="s">
        <v>15</v>
      </c>
      <c r="M7" s="65" t="s">
        <v>15</v>
      </c>
      <c r="N7" s="65" t="s">
        <v>15</v>
      </c>
    </row>
    <row r="8" spans="1:14" ht="15.95" customHeight="1" x14ac:dyDescent="0.25">
      <c r="A8" s="44" t="s">
        <v>16</v>
      </c>
      <c r="B8" s="47" t="s">
        <v>17</v>
      </c>
      <c r="C8" s="12">
        <v>296660</v>
      </c>
      <c r="D8" s="12">
        <v>300602</v>
      </c>
      <c r="E8" s="12">
        <f t="shared" si="0"/>
        <v>-3942</v>
      </c>
      <c r="F8" s="12">
        <v>68619</v>
      </c>
      <c r="G8" s="12">
        <v>69685</v>
      </c>
      <c r="H8" s="49">
        <f t="shared" si="1"/>
        <v>-1066</v>
      </c>
      <c r="I8" s="65">
        <v>19728</v>
      </c>
      <c r="J8" s="65">
        <v>19310</v>
      </c>
      <c r="K8" s="65">
        <f>I8-J8</f>
        <v>418</v>
      </c>
      <c r="L8" s="65">
        <v>208313</v>
      </c>
      <c r="M8" s="65">
        <v>211607</v>
      </c>
      <c r="N8" s="65">
        <f>L8-M8</f>
        <v>-3294</v>
      </c>
    </row>
    <row r="9" spans="1:14" ht="15.95" customHeight="1" x14ac:dyDescent="0.25">
      <c r="A9" s="44" t="s">
        <v>18</v>
      </c>
      <c r="B9" s="47" t="s">
        <v>19</v>
      </c>
      <c r="C9" s="12">
        <v>235691</v>
      </c>
      <c r="D9" s="12">
        <v>231242</v>
      </c>
      <c r="E9" s="12">
        <f t="shared" si="0"/>
        <v>4449</v>
      </c>
      <c r="F9" s="12">
        <v>79595</v>
      </c>
      <c r="G9" s="12">
        <v>67315</v>
      </c>
      <c r="H9" s="49">
        <f t="shared" si="1"/>
        <v>12280</v>
      </c>
      <c r="I9" s="65">
        <v>22918</v>
      </c>
      <c r="J9" s="65">
        <v>22931</v>
      </c>
      <c r="K9" s="65">
        <f>I9-J9</f>
        <v>-13</v>
      </c>
      <c r="L9" s="65">
        <v>133178</v>
      </c>
      <c r="M9" s="65">
        <v>140996</v>
      </c>
      <c r="N9" s="65">
        <f>L9-M9</f>
        <v>-7818</v>
      </c>
    </row>
    <row r="10" spans="1:14" ht="15.95" customHeight="1" x14ac:dyDescent="0.25">
      <c r="A10" s="44" t="s">
        <v>20</v>
      </c>
      <c r="B10" s="47" t="s">
        <v>21</v>
      </c>
      <c r="C10" s="12">
        <v>38101</v>
      </c>
      <c r="D10" s="12">
        <v>37689</v>
      </c>
      <c r="E10" s="12">
        <f t="shared" si="0"/>
        <v>412</v>
      </c>
      <c r="F10" s="12">
        <v>11653</v>
      </c>
      <c r="G10" s="12">
        <v>11605</v>
      </c>
      <c r="H10" s="49">
        <f t="shared" si="1"/>
        <v>48</v>
      </c>
      <c r="I10" s="65">
        <v>26448</v>
      </c>
      <c r="J10" s="65">
        <v>26084</v>
      </c>
      <c r="K10" s="65">
        <f>I10-J10</f>
        <v>364</v>
      </c>
      <c r="L10" s="65" t="s">
        <v>15</v>
      </c>
      <c r="M10" s="65" t="s">
        <v>15</v>
      </c>
      <c r="N10" s="65" t="s">
        <v>15</v>
      </c>
    </row>
    <row r="11" spans="1:14" ht="15.95" customHeight="1" x14ac:dyDescent="0.25">
      <c r="A11" s="44" t="s">
        <v>22</v>
      </c>
      <c r="B11" s="47" t="s">
        <v>23</v>
      </c>
      <c r="C11" s="12">
        <v>142020</v>
      </c>
      <c r="D11" s="12">
        <v>151392</v>
      </c>
      <c r="E11" s="12">
        <f t="shared" si="0"/>
        <v>-9372</v>
      </c>
      <c r="F11" s="12">
        <v>142020</v>
      </c>
      <c r="G11" s="12">
        <v>151392</v>
      </c>
      <c r="H11" s="49">
        <f t="shared" si="1"/>
        <v>-9372</v>
      </c>
      <c r="I11" s="65" t="s">
        <v>15</v>
      </c>
      <c r="J11" s="65" t="s">
        <v>15</v>
      </c>
      <c r="K11" s="65" t="s">
        <v>15</v>
      </c>
      <c r="L11" s="65" t="s">
        <v>15</v>
      </c>
      <c r="M11" s="65" t="s">
        <v>15</v>
      </c>
      <c r="N11" s="65" t="s">
        <v>15</v>
      </c>
    </row>
    <row r="12" spans="1:14" ht="15.95" customHeight="1" x14ac:dyDescent="0.25">
      <c r="A12" s="44" t="s">
        <v>24</v>
      </c>
      <c r="B12" s="47" t="s">
        <v>25</v>
      </c>
      <c r="C12" s="12">
        <v>133197</v>
      </c>
      <c r="D12" s="12">
        <v>132544</v>
      </c>
      <c r="E12" s="12">
        <f t="shared" si="0"/>
        <v>653</v>
      </c>
      <c r="F12" s="12">
        <v>41671</v>
      </c>
      <c r="G12" s="12">
        <v>44079</v>
      </c>
      <c r="H12" s="49">
        <f t="shared" si="1"/>
        <v>-2408</v>
      </c>
      <c r="I12" s="65">
        <v>5817</v>
      </c>
      <c r="J12" s="65">
        <v>10292</v>
      </c>
      <c r="K12" s="65">
        <f>I12-J12</f>
        <v>-4475</v>
      </c>
      <c r="L12" s="65">
        <v>85709</v>
      </c>
      <c r="M12" s="65">
        <v>78173</v>
      </c>
      <c r="N12" s="65">
        <f>L12-M12</f>
        <v>7536</v>
      </c>
    </row>
    <row r="13" spans="1:14" ht="15.95" customHeight="1" x14ac:dyDescent="0.25">
      <c r="A13" s="44" t="s">
        <v>26</v>
      </c>
      <c r="B13" s="47" t="s">
        <v>27</v>
      </c>
      <c r="C13" s="12">
        <v>232942</v>
      </c>
      <c r="D13" s="12">
        <v>242134</v>
      </c>
      <c r="E13" s="12">
        <f t="shared" si="0"/>
        <v>-9192</v>
      </c>
      <c r="F13" s="12">
        <v>70222</v>
      </c>
      <c r="G13" s="12">
        <v>66596</v>
      </c>
      <c r="H13" s="49">
        <f t="shared" si="1"/>
        <v>3626</v>
      </c>
      <c r="I13" s="65" t="s">
        <v>15</v>
      </c>
      <c r="J13" s="65" t="s">
        <v>15</v>
      </c>
      <c r="K13" s="65" t="s">
        <v>15</v>
      </c>
      <c r="L13" s="65">
        <v>162720</v>
      </c>
      <c r="M13" s="65">
        <v>175538</v>
      </c>
      <c r="N13" s="65">
        <f>L13-M13</f>
        <v>-12818</v>
      </c>
    </row>
    <row r="14" spans="1:14" ht="15.95" customHeight="1" x14ac:dyDescent="0.25">
      <c r="A14" s="170" t="s">
        <v>34</v>
      </c>
      <c r="B14" s="170"/>
      <c r="C14" s="22">
        <f t="shared" ref="C14:N14" si="2">SUM(C7:C13)</f>
        <v>1770629</v>
      </c>
      <c r="D14" s="59">
        <f t="shared" si="2"/>
        <v>1839420</v>
      </c>
      <c r="E14" s="22">
        <f t="shared" si="2"/>
        <v>-68791</v>
      </c>
      <c r="F14" s="22">
        <f t="shared" si="2"/>
        <v>655091</v>
      </c>
      <c r="G14" s="22">
        <f t="shared" si="2"/>
        <v>650401</v>
      </c>
      <c r="H14" s="22">
        <f t="shared" si="2"/>
        <v>4690</v>
      </c>
      <c r="I14" s="21">
        <f t="shared" si="2"/>
        <v>525618</v>
      </c>
      <c r="J14" s="21">
        <f t="shared" si="2"/>
        <v>582705</v>
      </c>
      <c r="K14" s="21">
        <f t="shared" si="2"/>
        <v>-57087</v>
      </c>
      <c r="L14" s="21">
        <f t="shared" si="2"/>
        <v>589920</v>
      </c>
      <c r="M14" s="21">
        <f t="shared" si="2"/>
        <v>606314</v>
      </c>
      <c r="N14" s="21">
        <f t="shared" si="2"/>
        <v>-16394</v>
      </c>
    </row>
    <row r="15" spans="1:14" s="82" customFormat="1" ht="15.95" customHeight="1" x14ac:dyDescent="0.25">
      <c r="A15" s="170" t="s">
        <v>36</v>
      </c>
      <c r="B15" s="170"/>
      <c r="C15" s="22">
        <f t="shared" ref="C15:H15" si="3">C14/7</f>
        <v>252947</v>
      </c>
      <c r="D15" s="59">
        <f t="shared" si="3"/>
        <v>262774.28571428574</v>
      </c>
      <c r="E15" s="22">
        <f t="shared" si="3"/>
        <v>-9827.2857142857138</v>
      </c>
      <c r="F15" s="22">
        <f t="shared" si="3"/>
        <v>93584.428571428565</v>
      </c>
      <c r="G15" s="22">
        <f t="shared" si="3"/>
        <v>92914.428571428565</v>
      </c>
      <c r="H15" s="22">
        <f t="shared" si="3"/>
        <v>670</v>
      </c>
      <c r="I15" s="21">
        <f>I14/5</f>
        <v>105123.6</v>
      </c>
      <c r="J15" s="21">
        <f>J14/5</f>
        <v>116541</v>
      </c>
      <c r="K15" s="21">
        <f>K14/5</f>
        <v>-11417.4</v>
      </c>
      <c r="L15" s="21">
        <f>L14/4</f>
        <v>147480</v>
      </c>
      <c r="M15" s="21">
        <f>M14/4</f>
        <v>151578.5</v>
      </c>
      <c r="N15" s="21">
        <f>N14/4</f>
        <v>-4098.5</v>
      </c>
    </row>
    <row r="16" spans="1:14" ht="15.95" customHeight="1" x14ac:dyDescent="0.25">
      <c r="A16" s="169" t="s">
        <v>28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</row>
    <row r="17" spans="1:14" ht="15.95" customHeight="1" x14ac:dyDescent="0.25">
      <c r="A17" s="44" t="s">
        <v>12</v>
      </c>
      <c r="B17" s="47" t="s">
        <v>29</v>
      </c>
      <c r="C17" s="12">
        <v>171950</v>
      </c>
      <c r="D17" s="12">
        <v>197415</v>
      </c>
      <c r="E17" s="12">
        <f>C17-D17</f>
        <v>-25465</v>
      </c>
      <c r="F17" s="12">
        <v>49195</v>
      </c>
      <c r="G17" s="12">
        <v>50510</v>
      </c>
      <c r="H17" s="49">
        <f>F17-G17</f>
        <v>-1315</v>
      </c>
      <c r="I17" s="65">
        <v>7075</v>
      </c>
      <c r="J17" s="65">
        <v>15615</v>
      </c>
      <c r="K17" s="65">
        <f>I17-J17</f>
        <v>-8540</v>
      </c>
      <c r="L17" s="65">
        <v>115680</v>
      </c>
      <c r="M17" s="65">
        <v>131290</v>
      </c>
      <c r="N17" s="65">
        <f>L17-M17</f>
        <v>-15610</v>
      </c>
    </row>
    <row r="18" spans="1:14" ht="15.95" customHeight="1" x14ac:dyDescent="0.25">
      <c r="A18" s="44" t="s">
        <v>16</v>
      </c>
      <c r="B18" s="47" t="s">
        <v>30</v>
      </c>
      <c r="C18" s="12">
        <v>51537</v>
      </c>
      <c r="D18" s="12">
        <v>49675</v>
      </c>
      <c r="E18" s="12">
        <f>C18-D18</f>
        <v>1862</v>
      </c>
      <c r="F18" s="12">
        <v>17079</v>
      </c>
      <c r="G18" s="12">
        <v>17043</v>
      </c>
      <c r="H18" s="49">
        <f>F18-G18</f>
        <v>36</v>
      </c>
      <c r="I18" s="65" t="s">
        <v>15</v>
      </c>
      <c r="J18" s="65" t="s">
        <v>15</v>
      </c>
      <c r="K18" s="65" t="s">
        <v>15</v>
      </c>
      <c r="L18" s="65">
        <v>34458</v>
      </c>
      <c r="M18" s="65">
        <v>32632</v>
      </c>
      <c r="N18" s="65">
        <f>L18-M18</f>
        <v>1826</v>
      </c>
    </row>
    <row r="19" spans="1:14" ht="15.95" customHeight="1" x14ac:dyDescent="0.25">
      <c r="A19" s="44" t="s">
        <v>18</v>
      </c>
      <c r="B19" s="47" t="s">
        <v>31</v>
      </c>
      <c r="C19" s="12">
        <v>139701</v>
      </c>
      <c r="D19" s="12">
        <v>145465</v>
      </c>
      <c r="E19" s="12">
        <f>C19-D19</f>
        <v>-5764</v>
      </c>
      <c r="F19" s="12">
        <v>45186</v>
      </c>
      <c r="G19" s="12">
        <v>45956</v>
      </c>
      <c r="H19" s="49">
        <f>F19-G19</f>
        <v>-770</v>
      </c>
      <c r="I19" s="65" t="s">
        <v>15</v>
      </c>
      <c r="J19" s="65" t="s">
        <v>15</v>
      </c>
      <c r="K19" s="65" t="s">
        <v>15</v>
      </c>
      <c r="L19" s="65">
        <v>94515</v>
      </c>
      <c r="M19" s="65">
        <v>99509</v>
      </c>
      <c r="N19" s="65">
        <f>L19-M19</f>
        <v>-4994</v>
      </c>
    </row>
    <row r="20" spans="1:14" ht="15.95" customHeight="1" x14ac:dyDescent="0.25">
      <c r="A20" s="44" t="s">
        <v>20</v>
      </c>
      <c r="B20" s="47" t="s">
        <v>32</v>
      </c>
      <c r="C20" s="12">
        <v>181726</v>
      </c>
      <c r="D20" s="12">
        <v>189396</v>
      </c>
      <c r="E20" s="12">
        <f>C20-D20</f>
        <v>-7670</v>
      </c>
      <c r="F20" s="12">
        <v>72759</v>
      </c>
      <c r="G20" s="12">
        <v>78518</v>
      </c>
      <c r="H20" s="49">
        <f>F20-G20</f>
        <v>-5759</v>
      </c>
      <c r="I20" s="65">
        <v>14192</v>
      </c>
      <c r="J20" s="65">
        <v>17936</v>
      </c>
      <c r="K20" s="65">
        <f>I20-J20</f>
        <v>-3744</v>
      </c>
      <c r="L20" s="65">
        <v>94775</v>
      </c>
      <c r="M20" s="65">
        <v>92942</v>
      </c>
      <c r="N20" s="65">
        <f>L20-M20</f>
        <v>1833</v>
      </c>
    </row>
    <row r="21" spans="1:14" ht="15.95" customHeight="1" x14ac:dyDescent="0.25">
      <c r="A21" s="112" t="s">
        <v>34</v>
      </c>
      <c r="B21" s="113"/>
      <c r="C21" s="22">
        <f t="shared" ref="C21:N21" si="4">SUM(C17:C20)</f>
        <v>544914</v>
      </c>
      <c r="D21" s="22">
        <f t="shared" si="4"/>
        <v>581951</v>
      </c>
      <c r="E21" s="22">
        <f t="shared" si="4"/>
        <v>-37037</v>
      </c>
      <c r="F21" s="22">
        <f t="shared" si="4"/>
        <v>184219</v>
      </c>
      <c r="G21" s="22">
        <f t="shared" si="4"/>
        <v>192027</v>
      </c>
      <c r="H21" s="50">
        <f t="shared" si="4"/>
        <v>-7808</v>
      </c>
      <c r="I21" s="21">
        <f t="shared" si="4"/>
        <v>21267</v>
      </c>
      <c r="J21" s="21">
        <f t="shared" si="4"/>
        <v>33551</v>
      </c>
      <c r="K21" s="21">
        <f t="shared" si="4"/>
        <v>-12284</v>
      </c>
      <c r="L21" s="21">
        <f t="shared" si="4"/>
        <v>339428</v>
      </c>
      <c r="M21" s="21">
        <f t="shared" si="4"/>
        <v>356373</v>
      </c>
      <c r="N21" s="21">
        <f t="shared" si="4"/>
        <v>-16945</v>
      </c>
    </row>
    <row r="22" spans="1:14" ht="15.95" customHeight="1" x14ac:dyDescent="0.25">
      <c r="A22" s="170" t="s">
        <v>36</v>
      </c>
      <c r="B22" s="170"/>
      <c r="C22" s="22">
        <f t="shared" ref="C22:H22" si="5">C21/4</f>
        <v>136228.5</v>
      </c>
      <c r="D22" s="22">
        <f t="shared" si="5"/>
        <v>145487.75</v>
      </c>
      <c r="E22" s="22">
        <f t="shared" si="5"/>
        <v>-9259.25</v>
      </c>
      <c r="F22" s="22">
        <f t="shared" si="5"/>
        <v>46054.75</v>
      </c>
      <c r="G22" s="22">
        <f t="shared" si="5"/>
        <v>48006.75</v>
      </c>
      <c r="H22" s="50">
        <f t="shared" si="5"/>
        <v>-1952</v>
      </c>
      <c r="I22" s="21">
        <f>I21/2</f>
        <v>10633.5</v>
      </c>
      <c r="J22" s="21">
        <f>J21/2</f>
        <v>16775.5</v>
      </c>
      <c r="K22" s="21">
        <f>K21/2</f>
        <v>-6142</v>
      </c>
      <c r="L22" s="21">
        <f>L21/4</f>
        <v>84857</v>
      </c>
      <c r="M22" s="21">
        <f>M21/4</f>
        <v>89093.25</v>
      </c>
      <c r="N22" s="21">
        <f>N21/4</f>
        <v>-4236.25</v>
      </c>
    </row>
    <row r="23" spans="1:14" ht="28.5" customHeight="1" x14ac:dyDescent="0.25">
      <c r="A23" s="108" t="s">
        <v>33</v>
      </c>
      <c r="B23" s="109"/>
      <c r="C23" s="26">
        <f t="shared" ref="C23:N23" si="6">SUM(C14,C21)</f>
        <v>2315543</v>
      </c>
      <c r="D23" s="26">
        <f t="shared" si="6"/>
        <v>2421371</v>
      </c>
      <c r="E23" s="26">
        <f t="shared" si="6"/>
        <v>-105828</v>
      </c>
      <c r="F23" s="26">
        <f t="shared" si="6"/>
        <v>839310</v>
      </c>
      <c r="G23" s="26">
        <f t="shared" si="6"/>
        <v>842428</v>
      </c>
      <c r="H23" s="51">
        <f t="shared" si="6"/>
        <v>-3118</v>
      </c>
      <c r="I23" s="33">
        <f t="shared" si="6"/>
        <v>546885</v>
      </c>
      <c r="J23" s="33">
        <f t="shared" si="6"/>
        <v>616256</v>
      </c>
      <c r="K23" s="33">
        <f t="shared" si="6"/>
        <v>-69371</v>
      </c>
      <c r="L23" s="33">
        <f t="shared" si="6"/>
        <v>929348</v>
      </c>
      <c r="M23" s="33">
        <f t="shared" si="6"/>
        <v>962687</v>
      </c>
      <c r="N23" s="33">
        <f t="shared" si="6"/>
        <v>-33339</v>
      </c>
    </row>
    <row r="24" spans="1:14" ht="33" customHeight="1" x14ac:dyDescent="0.25">
      <c r="A24" s="108" t="s">
        <v>35</v>
      </c>
      <c r="B24" s="109"/>
      <c r="C24" s="26">
        <f t="shared" ref="C24:H24" si="7">C23/11</f>
        <v>210503.90909090909</v>
      </c>
      <c r="D24" s="26">
        <f t="shared" si="7"/>
        <v>220124.63636363635</v>
      </c>
      <c r="E24" s="26">
        <f t="shared" si="7"/>
        <v>-9620.7272727272721</v>
      </c>
      <c r="F24" s="26">
        <f t="shared" si="7"/>
        <v>76300.909090909088</v>
      </c>
      <c r="G24" s="26">
        <f t="shared" si="7"/>
        <v>76584.363636363632</v>
      </c>
      <c r="H24" s="26">
        <f t="shared" si="7"/>
        <v>-283.45454545454544</v>
      </c>
      <c r="I24" s="26">
        <f>I23/7</f>
        <v>78126.428571428565</v>
      </c>
      <c r="J24" s="51">
        <f>J23/7</f>
        <v>88036.571428571435</v>
      </c>
      <c r="K24" s="34">
        <f>K23/7</f>
        <v>-9910.1428571428569</v>
      </c>
      <c r="L24" s="34">
        <f>L23/8</f>
        <v>116168.5</v>
      </c>
      <c r="M24" s="34">
        <f>M23/8</f>
        <v>120335.875</v>
      </c>
      <c r="N24" s="34">
        <f>N23/8</f>
        <v>-4167.375</v>
      </c>
    </row>
    <row r="25" spans="1:14" x14ac:dyDescent="0.25">
      <c r="I25" s="83"/>
      <c r="J25" s="83"/>
      <c r="K25" s="83"/>
    </row>
    <row r="26" spans="1:14" ht="15.75" customHeight="1" x14ac:dyDescent="0.25">
      <c r="I26" s="83"/>
      <c r="J26" s="83"/>
      <c r="K26" s="83"/>
    </row>
    <row r="27" spans="1:14" ht="15.75" customHeight="1" x14ac:dyDescent="0.25">
      <c r="I27" s="83"/>
      <c r="J27" s="83"/>
      <c r="K27" s="83"/>
    </row>
    <row r="28" spans="1:14" ht="15.75" customHeight="1" x14ac:dyDescent="0.25">
      <c r="I28" s="83"/>
      <c r="J28" s="83"/>
      <c r="K28" s="83"/>
    </row>
    <row r="29" spans="1:14" ht="15.75" customHeight="1" x14ac:dyDescent="0.25">
      <c r="I29" s="83"/>
      <c r="J29" s="83"/>
      <c r="K29" s="83"/>
    </row>
    <row r="30" spans="1:14" ht="15.75" customHeight="1" x14ac:dyDescent="0.25">
      <c r="I30" s="83"/>
      <c r="J30" s="83"/>
      <c r="K30" s="83"/>
    </row>
    <row r="31" spans="1:14" ht="15.75" customHeight="1" x14ac:dyDescent="0.25">
      <c r="I31" s="83"/>
      <c r="J31" s="83"/>
      <c r="K31" s="83"/>
    </row>
    <row r="32" spans="1:14" ht="15.75" customHeight="1" x14ac:dyDescent="0.25">
      <c r="I32" s="83"/>
      <c r="J32" s="83"/>
      <c r="K32" s="83"/>
    </row>
    <row r="33" spans="9:11" x14ac:dyDescent="0.25">
      <c r="I33" s="83"/>
      <c r="J33" s="83"/>
      <c r="K33" s="83"/>
    </row>
    <row r="34" spans="9:11" ht="15.75" customHeight="1" x14ac:dyDescent="0.25">
      <c r="I34" s="83"/>
      <c r="J34" s="83"/>
      <c r="K34" s="83"/>
    </row>
    <row r="35" spans="9:11" ht="15.75" customHeight="1" x14ac:dyDescent="0.25">
      <c r="I35" s="83"/>
      <c r="J35" s="83"/>
      <c r="K35" s="83"/>
    </row>
    <row r="36" spans="9:11" ht="15.75" customHeight="1" x14ac:dyDescent="0.25">
      <c r="I36" s="83"/>
      <c r="J36" s="83"/>
      <c r="K36" s="83"/>
    </row>
    <row r="37" spans="9:11" ht="15.75" customHeight="1" x14ac:dyDescent="0.25">
      <c r="I37" s="83"/>
      <c r="J37" s="83"/>
      <c r="K37" s="83"/>
    </row>
  </sheetData>
  <mergeCells count="14">
    <mergeCell ref="A16:N16"/>
    <mergeCell ref="A21:B21"/>
    <mergeCell ref="A23:B23"/>
    <mergeCell ref="A24:B24"/>
    <mergeCell ref="A2:N2"/>
    <mergeCell ref="C4:E4"/>
    <mergeCell ref="F4:H4"/>
    <mergeCell ref="I4:K4"/>
    <mergeCell ref="L4:N4"/>
    <mergeCell ref="A14:B14"/>
    <mergeCell ref="A4:A5"/>
    <mergeCell ref="B4:B5"/>
    <mergeCell ref="A15:B15"/>
    <mergeCell ref="A22:B22"/>
  </mergeCells>
  <pageMargins left="0.70000000000000007" right="0.70000000000000007" top="0.75" bottom="0.75" header="0.30000000000000004" footer="0.30000000000000004"/>
  <ignoredErrors>
    <ignoredError sqref="I24" formula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R27"/>
  <sheetViews>
    <sheetView topLeftCell="A7" workbookViewId="0">
      <selection activeCell="N44" sqref="N44"/>
    </sheetView>
  </sheetViews>
  <sheetFormatPr defaultRowHeight="15" x14ac:dyDescent="0.25"/>
  <cols>
    <col min="1" max="1" width="5.85546875" customWidth="1"/>
    <col min="2" max="2" width="27" customWidth="1"/>
    <col min="3" max="3" width="9.85546875" customWidth="1"/>
    <col min="4" max="4" width="8" customWidth="1"/>
    <col min="5" max="5" width="8.42578125" customWidth="1"/>
    <col min="6" max="6" width="8.140625" customWidth="1"/>
    <col min="7" max="7" width="8.42578125" customWidth="1"/>
    <col min="8" max="9" width="8.28515625" customWidth="1"/>
    <col min="10" max="10" width="8" customWidth="1"/>
    <col min="11" max="12" width="8.5703125" customWidth="1"/>
    <col min="13" max="13" width="8.28515625" customWidth="1"/>
    <col min="14" max="14" width="8" customWidth="1"/>
    <col min="15" max="15" width="8.42578125" customWidth="1"/>
    <col min="16" max="16" width="8.5703125" customWidth="1"/>
    <col min="17" max="17" width="8.42578125" customWidth="1"/>
    <col min="18" max="18" width="9.5703125" customWidth="1"/>
  </cols>
  <sheetData>
    <row r="2" spans="1:18" ht="15.75" x14ac:dyDescent="0.25">
      <c r="A2" s="136" t="s">
        <v>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ht="15.75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 ht="15.95" customHeight="1" x14ac:dyDescent="0.25">
      <c r="A4" s="115" t="s">
        <v>3</v>
      </c>
      <c r="B4" s="115" t="s">
        <v>4</v>
      </c>
      <c r="C4" s="139" t="s">
        <v>70</v>
      </c>
      <c r="D4" s="140"/>
      <c r="E4" s="140"/>
      <c r="F4" s="140"/>
      <c r="G4" s="140"/>
      <c r="H4" s="140"/>
      <c r="I4" s="140"/>
      <c r="J4" s="155"/>
      <c r="K4" s="139" t="s">
        <v>71</v>
      </c>
      <c r="L4" s="140"/>
      <c r="M4" s="140"/>
      <c r="N4" s="140"/>
      <c r="O4" s="140"/>
      <c r="P4" s="140"/>
      <c r="Q4" s="140"/>
      <c r="R4" s="155"/>
    </row>
    <row r="5" spans="1:18" ht="28.5" customHeight="1" x14ac:dyDescent="0.25">
      <c r="A5" s="115"/>
      <c r="B5" s="115"/>
      <c r="C5" s="139" t="s">
        <v>61</v>
      </c>
      <c r="D5" s="155"/>
      <c r="E5" s="139" t="s">
        <v>7</v>
      </c>
      <c r="F5" s="155"/>
      <c r="G5" s="139" t="s">
        <v>57</v>
      </c>
      <c r="H5" s="155"/>
      <c r="I5" s="139" t="s">
        <v>58</v>
      </c>
      <c r="J5" s="155"/>
      <c r="K5" s="139" t="s">
        <v>61</v>
      </c>
      <c r="L5" s="155"/>
      <c r="M5" s="139" t="s">
        <v>7</v>
      </c>
      <c r="N5" s="155"/>
      <c r="O5" s="139" t="s">
        <v>57</v>
      </c>
      <c r="P5" s="155"/>
      <c r="Q5" s="139" t="s">
        <v>58</v>
      </c>
      <c r="R5" s="155"/>
    </row>
    <row r="6" spans="1:18" ht="16.5" customHeight="1" x14ac:dyDescent="0.25">
      <c r="A6" s="115"/>
      <c r="B6" s="115"/>
      <c r="C6" s="64" t="s">
        <v>69</v>
      </c>
      <c r="D6" s="64" t="s">
        <v>54</v>
      </c>
      <c r="E6" s="64" t="s">
        <v>69</v>
      </c>
      <c r="F6" s="64" t="s">
        <v>54</v>
      </c>
      <c r="G6" s="64" t="s">
        <v>69</v>
      </c>
      <c r="H6" s="64" t="s">
        <v>54</v>
      </c>
      <c r="I6" s="64" t="s">
        <v>69</v>
      </c>
      <c r="J6" s="64" t="s">
        <v>54</v>
      </c>
      <c r="K6" s="64" t="s">
        <v>69</v>
      </c>
      <c r="L6" s="64" t="s">
        <v>54</v>
      </c>
      <c r="M6" s="64" t="s">
        <v>69</v>
      </c>
      <c r="N6" s="64" t="s">
        <v>54</v>
      </c>
      <c r="O6" s="64" t="s">
        <v>69</v>
      </c>
      <c r="P6" s="64" t="s">
        <v>54</v>
      </c>
      <c r="Q6" s="64" t="s">
        <v>69</v>
      </c>
      <c r="R6" s="64" t="s">
        <v>54</v>
      </c>
    </row>
    <row r="7" spans="1:18" ht="15.95" customHeight="1" x14ac:dyDescent="0.25">
      <c r="A7" s="71" t="s">
        <v>11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4"/>
    </row>
    <row r="8" spans="1:18" ht="15.95" customHeight="1" x14ac:dyDescent="0.25">
      <c r="A8" s="44" t="s">
        <v>12</v>
      </c>
      <c r="B8" s="47" t="s">
        <v>13</v>
      </c>
      <c r="C8" s="100">
        <v>312585</v>
      </c>
      <c r="D8" s="101">
        <f>C8*100/692018</f>
        <v>45.170067830605561</v>
      </c>
      <c r="E8" s="12">
        <v>81509</v>
      </c>
      <c r="F8" s="14">
        <f>E8*100/241311</f>
        <v>33.777573338969212</v>
      </c>
      <c r="G8" s="12">
        <v>231076</v>
      </c>
      <c r="H8" s="14">
        <f>G8*100/450707</f>
        <v>51.269671871082544</v>
      </c>
      <c r="I8" s="12" t="s">
        <v>15</v>
      </c>
      <c r="J8" s="14" t="s">
        <v>15</v>
      </c>
      <c r="K8" s="12">
        <v>127829</v>
      </c>
      <c r="L8" s="102">
        <f>K8*100/692018</f>
        <v>18.471918360505075</v>
      </c>
      <c r="M8" s="12">
        <v>75527</v>
      </c>
      <c r="N8" s="91">
        <f>M8*100/241311</f>
        <v>31.298614650803319</v>
      </c>
      <c r="O8" s="12">
        <v>167329</v>
      </c>
      <c r="P8" s="91">
        <f>O8*100/450707</f>
        <v>37.125893318719257</v>
      </c>
      <c r="Q8" s="90" t="s">
        <v>15</v>
      </c>
      <c r="R8" s="91" t="s">
        <v>15</v>
      </c>
    </row>
    <row r="9" spans="1:18" ht="15.95" customHeight="1" x14ac:dyDescent="0.25">
      <c r="A9" s="44" t="s">
        <v>16</v>
      </c>
      <c r="B9" s="47" t="s">
        <v>17</v>
      </c>
      <c r="C9" s="12">
        <v>154865</v>
      </c>
      <c r="D9" s="14">
        <f>154865*100/296660</f>
        <v>52.202858491202051</v>
      </c>
      <c r="E9" s="12">
        <v>42666</v>
      </c>
      <c r="F9" s="14">
        <f>42666*100/68619</f>
        <v>62.178113933458661</v>
      </c>
      <c r="G9" s="65">
        <v>6856</v>
      </c>
      <c r="H9" s="85">
        <f>6856*100/19728</f>
        <v>34.752635847526356</v>
      </c>
      <c r="I9" s="65">
        <v>105343</v>
      </c>
      <c r="J9" s="85">
        <f>105343*100/208313</f>
        <v>50.569575590577642</v>
      </c>
      <c r="K9" s="55">
        <v>141795</v>
      </c>
      <c r="L9" s="60">
        <f>141795*100/296660</f>
        <v>47.797141508797949</v>
      </c>
      <c r="M9" s="55">
        <v>25953</v>
      </c>
      <c r="N9" s="60">
        <f>25953*100/68619</f>
        <v>37.821886066541339</v>
      </c>
      <c r="O9" s="55">
        <v>12872</v>
      </c>
      <c r="P9" s="60">
        <f>12872*100/19728</f>
        <v>65.247364152473637</v>
      </c>
      <c r="Q9" s="55">
        <v>102970</v>
      </c>
      <c r="R9" s="60">
        <f>102970*100/208313</f>
        <v>49.430424409422358</v>
      </c>
    </row>
    <row r="10" spans="1:18" ht="15.95" customHeight="1" x14ac:dyDescent="0.25">
      <c r="A10" s="44" t="s">
        <v>18</v>
      </c>
      <c r="B10" s="47" t="s">
        <v>19</v>
      </c>
      <c r="C10" s="12">
        <v>105201</v>
      </c>
      <c r="D10" s="14">
        <f>105201*100/235691</f>
        <v>44.635136683199612</v>
      </c>
      <c r="E10" s="12">
        <v>43372</v>
      </c>
      <c r="F10" s="14">
        <f>43372*100/79595</f>
        <v>54.490859978641872</v>
      </c>
      <c r="G10" s="65">
        <v>9388</v>
      </c>
      <c r="H10" s="85">
        <f>9388*100/22918</f>
        <v>40.963434854699365</v>
      </c>
      <c r="I10" s="65">
        <v>52441</v>
      </c>
      <c r="J10" s="85">
        <f>52441*100/133178</f>
        <v>39.376623766688191</v>
      </c>
      <c r="K10" s="55">
        <v>130490</v>
      </c>
      <c r="L10" s="60">
        <f>130490*100/235691</f>
        <v>55.364863316800388</v>
      </c>
      <c r="M10" s="55">
        <v>36223</v>
      </c>
      <c r="N10" s="60">
        <f>36223*100/79595</f>
        <v>45.509140021358128</v>
      </c>
      <c r="O10" s="55">
        <v>13530</v>
      </c>
      <c r="P10" s="60">
        <f>13530*100/22918</f>
        <v>59.036565145300635</v>
      </c>
      <c r="Q10" s="55">
        <v>80737</v>
      </c>
      <c r="R10" s="60">
        <f>80737*100/133178</f>
        <v>60.623376233311809</v>
      </c>
    </row>
    <row r="11" spans="1:18" ht="15.95" customHeight="1" x14ac:dyDescent="0.25">
      <c r="A11" s="44" t="s">
        <v>20</v>
      </c>
      <c r="B11" s="47" t="s">
        <v>21</v>
      </c>
      <c r="C11" s="12">
        <v>13988</v>
      </c>
      <c r="D11" s="14">
        <f>13988*100/38101</f>
        <v>36.712947166741031</v>
      </c>
      <c r="E11" s="12">
        <v>4741</v>
      </c>
      <c r="F11" s="14">
        <f>4741*100/11653</f>
        <v>40.684802196859181</v>
      </c>
      <c r="G11" s="65">
        <v>9247</v>
      </c>
      <c r="H11" s="85">
        <f>9247*100/26448</f>
        <v>34.962946158499697</v>
      </c>
      <c r="I11" s="65" t="s">
        <v>15</v>
      </c>
      <c r="J11" s="85" t="s">
        <v>15</v>
      </c>
      <c r="K11" s="55">
        <v>2647</v>
      </c>
      <c r="L11" s="60">
        <f>2647*100/38101</f>
        <v>6.947324217212147</v>
      </c>
      <c r="M11" s="55">
        <v>1027</v>
      </c>
      <c r="N11" s="60">
        <f>1027*100/11653</f>
        <v>8.8131811550673653</v>
      </c>
      <c r="O11" s="55">
        <v>1620</v>
      </c>
      <c r="P11" s="60">
        <f>1620*100/26448</f>
        <v>6.1252268602540836</v>
      </c>
      <c r="Q11" s="55" t="s">
        <v>15</v>
      </c>
      <c r="R11" s="60" t="s">
        <v>15</v>
      </c>
    </row>
    <row r="12" spans="1:18" ht="15.95" customHeight="1" x14ac:dyDescent="0.25">
      <c r="A12" s="44" t="s">
        <v>22</v>
      </c>
      <c r="B12" s="47" t="s">
        <v>23</v>
      </c>
      <c r="C12" s="12">
        <v>55366</v>
      </c>
      <c r="D12" s="14">
        <f>C12*100/142020</f>
        <v>38.984650049288831</v>
      </c>
      <c r="E12" s="12">
        <v>55366</v>
      </c>
      <c r="F12" s="14">
        <f>E12*100/142020</f>
        <v>38.984650049288831</v>
      </c>
      <c r="G12" s="11" t="s">
        <v>15</v>
      </c>
      <c r="H12" s="14" t="s">
        <v>15</v>
      </c>
      <c r="I12" s="11" t="s">
        <v>15</v>
      </c>
      <c r="J12" s="14" t="s">
        <v>15</v>
      </c>
      <c r="K12" s="12">
        <v>12153</v>
      </c>
      <c r="L12" s="91">
        <f>K12*100/142020</f>
        <v>8.5572454583861433</v>
      </c>
      <c r="M12" s="12">
        <v>12153</v>
      </c>
      <c r="N12" s="91">
        <f>M12*100/142020</f>
        <v>8.5572454583861433</v>
      </c>
      <c r="O12" s="90" t="s">
        <v>15</v>
      </c>
      <c r="P12" s="91" t="s">
        <v>15</v>
      </c>
      <c r="Q12" s="90" t="s">
        <v>15</v>
      </c>
      <c r="R12" s="91" t="s">
        <v>15</v>
      </c>
    </row>
    <row r="13" spans="1:18" ht="15.95" customHeight="1" x14ac:dyDescent="0.25">
      <c r="A13" s="44" t="s">
        <v>24</v>
      </c>
      <c r="B13" s="47" t="s">
        <v>25</v>
      </c>
      <c r="C13" s="12">
        <v>36321</v>
      </c>
      <c r="D13" s="14">
        <f>C13*100/133197</f>
        <v>27.26863217640037</v>
      </c>
      <c r="E13" s="12">
        <v>13244</v>
      </c>
      <c r="F13" s="14">
        <f>E13*100/41671</f>
        <v>31.7822946413573</v>
      </c>
      <c r="G13" s="12">
        <v>2428</v>
      </c>
      <c r="H13" s="14">
        <f>G13*100/5817</f>
        <v>41.739728382327662</v>
      </c>
      <c r="I13" s="12">
        <v>20649</v>
      </c>
      <c r="J13" s="14">
        <f>I13*100/85709</f>
        <v>24.091985672449802</v>
      </c>
      <c r="K13" s="12">
        <v>5683</v>
      </c>
      <c r="L13" s="91">
        <f>K13*100/133197</f>
        <v>4.2666126113951517</v>
      </c>
      <c r="M13" s="12">
        <v>2291</v>
      </c>
      <c r="N13" s="91">
        <f>M13*100/41671</f>
        <v>5.4978282258645104</v>
      </c>
      <c r="O13" s="12">
        <v>185</v>
      </c>
      <c r="P13" s="91">
        <f>O13*100/5817</f>
        <v>3.1803335052432526</v>
      </c>
      <c r="Q13" s="12">
        <v>3207</v>
      </c>
      <c r="R13" s="91">
        <f>Q13*100/85709</f>
        <v>3.7417307400623039</v>
      </c>
    </row>
    <row r="14" spans="1:18" ht="15.95" customHeight="1" x14ac:dyDescent="0.25">
      <c r="A14" s="44" t="s">
        <v>26</v>
      </c>
      <c r="B14" s="47" t="s">
        <v>27</v>
      </c>
      <c r="C14" s="12">
        <v>111334</v>
      </c>
      <c r="D14" s="14">
        <f>111334*100/232942</f>
        <v>47.794730018631249</v>
      </c>
      <c r="E14" s="12">
        <v>35417</v>
      </c>
      <c r="F14" s="14">
        <f>35417*100/70222</f>
        <v>50.435760872660993</v>
      </c>
      <c r="G14" s="65" t="s">
        <v>15</v>
      </c>
      <c r="H14" s="85" t="s">
        <v>15</v>
      </c>
      <c r="I14" s="65">
        <v>75917</v>
      </c>
      <c r="J14" s="85">
        <f>75917*100/162720</f>
        <v>46.65499016715831</v>
      </c>
      <c r="K14" s="55">
        <v>35438</v>
      </c>
      <c r="L14" s="60">
        <f>35438*100/232942</f>
        <v>15.213229044139743</v>
      </c>
      <c r="M14" s="55">
        <v>14746</v>
      </c>
      <c r="N14" s="60">
        <f>14746*100/70222</f>
        <v>20.999117085813563</v>
      </c>
      <c r="O14" s="55" t="s">
        <v>15</v>
      </c>
      <c r="P14" s="60" t="s">
        <v>15</v>
      </c>
      <c r="Q14" s="55">
        <v>20692</v>
      </c>
      <c r="R14" s="60">
        <f>20692*100/162720</f>
        <v>12.716322517207473</v>
      </c>
    </row>
    <row r="15" spans="1:18" ht="15.95" customHeight="1" x14ac:dyDescent="0.25">
      <c r="A15" s="170" t="s">
        <v>34</v>
      </c>
      <c r="B15" s="170"/>
      <c r="C15" s="22">
        <f t="shared" ref="C15:R15" si="0">SUM(C8:C14)</f>
        <v>789660</v>
      </c>
      <c r="D15" s="86">
        <f t="shared" si="0"/>
        <v>292.76902241606871</v>
      </c>
      <c r="E15" s="22">
        <f t="shared" si="0"/>
        <v>276315</v>
      </c>
      <c r="F15" s="24">
        <f t="shared" si="0"/>
        <v>312.33405501123605</v>
      </c>
      <c r="G15" s="22">
        <f t="shared" si="0"/>
        <v>258995</v>
      </c>
      <c r="H15" s="24">
        <f t="shared" si="0"/>
        <v>203.68841711413563</v>
      </c>
      <c r="I15" s="22">
        <f t="shared" si="0"/>
        <v>254350</v>
      </c>
      <c r="J15" s="24">
        <f t="shared" si="0"/>
        <v>160.69317519687394</v>
      </c>
      <c r="K15" s="56">
        <f t="shared" si="0"/>
        <v>456035</v>
      </c>
      <c r="L15" s="61">
        <f t="shared" si="0"/>
        <v>156.6183345172366</v>
      </c>
      <c r="M15" s="56">
        <f t="shared" si="0"/>
        <v>167920</v>
      </c>
      <c r="N15" s="61">
        <f t="shared" si="0"/>
        <v>158.49701266383437</v>
      </c>
      <c r="O15" s="56">
        <f t="shared" si="0"/>
        <v>195536</v>
      </c>
      <c r="P15" s="61">
        <f t="shared" si="0"/>
        <v>170.71538298199087</v>
      </c>
      <c r="Q15" s="57">
        <f t="shared" si="0"/>
        <v>207606</v>
      </c>
      <c r="R15" s="61">
        <f t="shared" si="0"/>
        <v>126.51185390000394</v>
      </c>
    </row>
    <row r="16" spans="1:18" ht="15.95" customHeight="1" x14ac:dyDescent="0.25">
      <c r="A16" s="172" t="s">
        <v>36</v>
      </c>
      <c r="B16" s="172"/>
      <c r="C16" s="22">
        <f>C15/7</f>
        <v>112808.57142857143</v>
      </c>
      <c r="D16" s="86">
        <f>D15/7</f>
        <v>41.824146059438384</v>
      </c>
      <c r="E16" s="22">
        <f>E15/7</f>
        <v>39473.571428571428</v>
      </c>
      <c r="F16" s="24">
        <f>F15/7</f>
        <v>44.619150715890861</v>
      </c>
      <c r="G16" s="21">
        <f>G15/5</f>
        <v>51799</v>
      </c>
      <c r="H16" s="24">
        <f>H15/5</f>
        <v>40.737683422827125</v>
      </c>
      <c r="I16" s="21">
        <f>I15/4</f>
        <v>63587.5</v>
      </c>
      <c r="J16" s="24">
        <f>J15/4</f>
        <v>40.173293799218484</v>
      </c>
      <c r="K16" s="57">
        <f>K15/7</f>
        <v>65147.857142857145</v>
      </c>
      <c r="L16" s="61">
        <f>L15/7</f>
        <v>22.374047788176657</v>
      </c>
      <c r="M16" s="57">
        <f>M15/7</f>
        <v>23988.571428571428</v>
      </c>
      <c r="N16" s="61">
        <f>N15/7</f>
        <v>22.642430380547768</v>
      </c>
      <c r="O16" s="57">
        <f>O15/5</f>
        <v>39107.199999999997</v>
      </c>
      <c r="P16" s="61">
        <f>P15/5</f>
        <v>34.143076596398174</v>
      </c>
      <c r="Q16" s="57">
        <f>Q15/4</f>
        <v>51901.5</v>
      </c>
      <c r="R16" s="61">
        <f>R15/4</f>
        <v>31.627963475000985</v>
      </c>
    </row>
    <row r="17" spans="1:18" ht="15.95" customHeight="1" x14ac:dyDescent="0.25">
      <c r="A17" s="152" t="s">
        <v>28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4"/>
    </row>
    <row r="18" spans="1:18" ht="15.95" customHeight="1" x14ac:dyDescent="0.25">
      <c r="A18" s="44" t="s">
        <v>12</v>
      </c>
      <c r="B18" s="47" t="s">
        <v>29</v>
      </c>
      <c r="C18" s="12">
        <v>83814</v>
      </c>
      <c r="D18" s="14">
        <f>83814*100/171950</f>
        <v>48.743239313753996</v>
      </c>
      <c r="E18" s="12">
        <v>28435</v>
      </c>
      <c r="F18" s="14">
        <f>28435*100/49195</f>
        <v>57.800589490801912</v>
      </c>
      <c r="G18" s="65">
        <v>4704</v>
      </c>
      <c r="H18" s="85">
        <f>4704*100/7075</f>
        <v>66.487632508833926</v>
      </c>
      <c r="I18" s="65">
        <v>50675</v>
      </c>
      <c r="J18" s="85">
        <f>50675*100/115680</f>
        <v>43.806189488243433</v>
      </c>
      <c r="K18" s="55">
        <v>88136</v>
      </c>
      <c r="L18" s="60">
        <f>88136*100/171950</f>
        <v>51.256760686246004</v>
      </c>
      <c r="M18" s="55">
        <v>20760</v>
      </c>
      <c r="N18" s="60">
        <f>20760*100/49195</f>
        <v>42.199410509198088</v>
      </c>
      <c r="O18" s="55">
        <v>2371</v>
      </c>
      <c r="P18" s="60">
        <f>2371*100/7075</f>
        <v>33.512367491166074</v>
      </c>
      <c r="Q18" s="55">
        <v>65005</v>
      </c>
      <c r="R18" s="60">
        <f>65005*100/115680</f>
        <v>56.193810511756567</v>
      </c>
    </row>
    <row r="19" spans="1:18" ht="15.95" customHeight="1" x14ac:dyDescent="0.25">
      <c r="A19" s="44" t="s">
        <v>16</v>
      </c>
      <c r="B19" s="47" t="s">
        <v>30</v>
      </c>
      <c r="C19" s="12">
        <v>14177</v>
      </c>
      <c r="D19" s="14">
        <f>14177*100/51537</f>
        <v>27.508392029027689</v>
      </c>
      <c r="E19" s="12">
        <v>6331</v>
      </c>
      <c r="F19" s="14">
        <f>E19*100/17079</f>
        <v>37.06891504186428</v>
      </c>
      <c r="G19" s="11" t="s">
        <v>15</v>
      </c>
      <c r="H19" s="14" t="s">
        <v>15</v>
      </c>
      <c r="I19" s="11">
        <v>7846</v>
      </c>
      <c r="J19" s="14">
        <f>I19*100/34458</f>
        <v>22.769748679551917</v>
      </c>
      <c r="K19" s="90">
        <v>2193</v>
      </c>
      <c r="L19" s="91">
        <f>K19*100/51537</f>
        <v>4.2551952965830377</v>
      </c>
      <c r="M19" s="90">
        <v>1336</v>
      </c>
      <c r="N19" s="91">
        <f>M19*100/17079</f>
        <v>7.8224720416886235</v>
      </c>
      <c r="O19" s="90" t="s">
        <v>15</v>
      </c>
      <c r="P19" s="91" t="s">
        <v>15</v>
      </c>
      <c r="Q19" s="90">
        <v>857</v>
      </c>
      <c r="R19" s="91">
        <f>Q19*100/34458</f>
        <v>2.4870857275523828</v>
      </c>
    </row>
    <row r="20" spans="1:18" ht="15.95" customHeight="1" x14ac:dyDescent="0.25">
      <c r="A20" s="44" t="s">
        <v>18</v>
      </c>
      <c r="B20" s="47" t="s">
        <v>31</v>
      </c>
      <c r="C20" s="12">
        <v>51853</v>
      </c>
      <c r="D20" s="14">
        <f>C20*100/139701</f>
        <v>37.117128724919652</v>
      </c>
      <c r="E20" s="12">
        <v>16520</v>
      </c>
      <c r="F20" s="14">
        <f>E20*100/45186</f>
        <v>36.559996459080246</v>
      </c>
      <c r="G20" s="11" t="s">
        <v>15</v>
      </c>
      <c r="H20" s="14" t="s">
        <v>15</v>
      </c>
      <c r="I20" s="11">
        <v>35333</v>
      </c>
      <c r="J20" s="14">
        <f>I20*100/94515</f>
        <v>37.383484103052425</v>
      </c>
      <c r="K20" s="90">
        <v>15897</v>
      </c>
      <c r="L20" s="91">
        <f>K20*100/139701</f>
        <v>11.379302939850108</v>
      </c>
      <c r="M20" s="90">
        <v>4053</v>
      </c>
      <c r="N20" s="91">
        <f>M20*100/45186</f>
        <v>8.9695923516133309</v>
      </c>
      <c r="O20" s="90" t="s">
        <v>15</v>
      </c>
      <c r="P20" s="91" t="s">
        <v>15</v>
      </c>
      <c r="Q20" s="90">
        <v>11844</v>
      </c>
      <c r="R20" s="91">
        <f>Q20*100/94515</f>
        <v>12.531344231074433</v>
      </c>
    </row>
    <row r="21" spans="1:18" ht="15.95" customHeight="1" x14ac:dyDescent="0.25">
      <c r="A21" s="44" t="s">
        <v>20</v>
      </c>
      <c r="B21" s="47" t="s">
        <v>32</v>
      </c>
      <c r="C21" s="12">
        <v>92335</v>
      </c>
      <c r="D21" s="14">
        <f>92335*100/181726</f>
        <v>50.810010675412435</v>
      </c>
      <c r="E21" s="12">
        <v>39090</v>
      </c>
      <c r="F21" s="14">
        <f>39090*100/72759</f>
        <v>53.725312332494951</v>
      </c>
      <c r="G21" s="65">
        <v>7397</v>
      </c>
      <c r="H21" s="85">
        <f>7397*100/14192</f>
        <v>52.120913190529876</v>
      </c>
      <c r="I21" s="65">
        <v>45848</v>
      </c>
      <c r="J21" s="85">
        <f>45848*100/94775</f>
        <v>48.375626483777367</v>
      </c>
      <c r="K21" s="55">
        <v>23915</v>
      </c>
      <c r="L21" s="60">
        <f>23915*100/181726</f>
        <v>13.159922080494811</v>
      </c>
      <c r="M21" s="55">
        <v>10283</v>
      </c>
      <c r="N21" s="60">
        <f>10283*100/72759</f>
        <v>14.132959496419687</v>
      </c>
      <c r="O21" s="55">
        <v>1471</v>
      </c>
      <c r="P21" s="60">
        <f>1471*100/14192</f>
        <v>10.36499436302142</v>
      </c>
      <c r="Q21" s="55">
        <v>12161</v>
      </c>
      <c r="R21" s="60">
        <f>12161*100/94775</f>
        <v>12.831442891057769</v>
      </c>
    </row>
    <row r="22" spans="1:18" ht="15.95" customHeight="1" x14ac:dyDescent="0.25">
      <c r="A22" s="170" t="s">
        <v>34</v>
      </c>
      <c r="B22" s="170"/>
      <c r="C22" s="22">
        <f t="shared" ref="C22:R22" si="1">SUM(C18:C21)</f>
        <v>242179</v>
      </c>
      <c r="D22" s="24">
        <f t="shared" si="1"/>
        <v>164.17877074311377</v>
      </c>
      <c r="E22" s="22">
        <f t="shared" si="1"/>
        <v>90376</v>
      </c>
      <c r="F22" s="24">
        <f t="shared" si="1"/>
        <v>185.15481332424139</v>
      </c>
      <c r="G22" s="21">
        <f t="shared" si="1"/>
        <v>12101</v>
      </c>
      <c r="H22" s="24">
        <f t="shared" si="1"/>
        <v>118.6085456993638</v>
      </c>
      <c r="I22" s="21">
        <f t="shared" si="1"/>
        <v>139702</v>
      </c>
      <c r="J22" s="24">
        <f t="shared" si="1"/>
        <v>152.33504875462515</v>
      </c>
      <c r="K22" s="57">
        <f t="shared" si="1"/>
        <v>130141</v>
      </c>
      <c r="L22" s="61">
        <f t="shared" si="1"/>
        <v>80.051181003173966</v>
      </c>
      <c r="M22" s="57">
        <f t="shared" si="1"/>
        <v>36432</v>
      </c>
      <c r="N22" s="61">
        <f t="shared" si="1"/>
        <v>73.124434398919732</v>
      </c>
      <c r="O22" s="57">
        <f t="shared" si="1"/>
        <v>3842</v>
      </c>
      <c r="P22" s="61">
        <f t="shared" si="1"/>
        <v>43.877361854187498</v>
      </c>
      <c r="Q22" s="57">
        <f t="shared" si="1"/>
        <v>89867</v>
      </c>
      <c r="R22" s="61">
        <f t="shared" si="1"/>
        <v>84.04368336144114</v>
      </c>
    </row>
    <row r="23" spans="1:18" ht="15.95" customHeight="1" x14ac:dyDescent="0.25">
      <c r="A23" s="172" t="s">
        <v>36</v>
      </c>
      <c r="B23" s="172"/>
      <c r="C23" s="22">
        <f>C22/4</f>
        <v>60544.75</v>
      </c>
      <c r="D23" s="24">
        <f>D22/4</f>
        <v>41.044692685778443</v>
      </c>
      <c r="E23" s="22">
        <f>E22/4</f>
        <v>22594</v>
      </c>
      <c r="F23" s="24">
        <f>F22/4</f>
        <v>46.288703331060347</v>
      </c>
      <c r="G23" s="21">
        <f>G22/2</f>
        <v>6050.5</v>
      </c>
      <c r="H23" s="24">
        <f>H22/2</f>
        <v>59.304272849681901</v>
      </c>
      <c r="I23" s="21">
        <f t="shared" ref="I23:N23" si="2">I22/4</f>
        <v>34925.5</v>
      </c>
      <c r="J23" s="24">
        <f t="shared" si="2"/>
        <v>38.083762188656287</v>
      </c>
      <c r="K23" s="57">
        <f t="shared" si="2"/>
        <v>32535.25</v>
      </c>
      <c r="L23" s="61">
        <f t="shared" si="2"/>
        <v>20.012795250793491</v>
      </c>
      <c r="M23" s="57">
        <f t="shared" si="2"/>
        <v>9108</v>
      </c>
      <c r="N23" s="61">
        <f t="shared" si="2"/>
        <v>18.281108599729933</v>
      </c>
      <c r="O23" s="57">
        <f>O22/2</f>
        <v>1921</v>
      </c>
      <c r="P23" s="61">
        <f>P22/2</f>
        <v>21.938680927093749</v>
      </c>
      <c r="Q23" s="57">
        <f>Q22/4</f>
        <v>22466.75</v>
      </c>
      <c r="R23" s="61">
        <f>R22/4</f>
        <v>21.010920840360285</v>
      </c>
    </row>
    <row r="24" spans="1:18" ht="28.5" customHeight="1" x14ac:dyDescent="0.25">
      <c r="A24" s="171" t="s">
        <v>33</v>
      </c>
      <c r="B24" s="171"/>
      <c r="C24" s="26">
        <f t="shared" ref="C24:H24" si="3">SUM(C15,C22)</f>
        <v>1031839</v>
      </c>
      <c r="D24" s="28">
        <f t="shared" si="3"/>
        <v>456.94779315918248</v>
      </c>
      <c r="E24" s="26">
        <f t="shared" si="3"/>
        <v>366691</v>
      </c>
      <c r="F24" s="28">
        <f t="shared" si="3"/>
        <v>497.48886833547743</v>
      </c>
      <c r="G24" s="34">
        <f t="shared" si="3"/>
        <v>271096</v>
      </c>
      <c r="H24" s="87">
        <f t="shared" si="3"/>
        <v>322.29696281349942</v>
      </c>
      <c r="I24" s="87">
        <f>SUM(J15,J22)</f>
        <v>313.02822395149906</v>
      </c>
      <c r="J24" s="87">
        <f t="shared" ref="J24:R24" si="4">SUM(J15,J22)</f>
        <v>313.02822395149906</v>
      </c>
      <c r="K24" s="62">
        <f t="shared" si="4"/>
        <v>586176</v>
      </c>
      <c r="L24" s="63">
        <f t="shared" si="4"/>
        <v>236.66951552041058</v>
      </c>
      <c r="M24" s="62">
        <f t="shared" si="4"/>
        <v>204352</v>
      </c>
      <c r="N24" s="63">
        <f t="shared" si="4"/>
        <v>231.6214470627541</v>
      </c>
      <c r="O24" s="62">
        <f t="shared" si="4"/>
        <v>199378</v>
      </c>
      <c r="P24" s="63">
        <f t="shared" si="4"/>
        <v>214.59274483617838</v>
      </c>
      <c r="Q24" s="69">
        <f t="shared" si="4"/>
        <v>297473</v>
      </c>
      <c r="R24" s="63">
        <f t="shared" si="4"/>
        <v>210.55553726144507</v>
      </c>
    </row>
    <row r="25" spans="1:18" ht="35.25" customHeight="1" x14ac:dyDescent="0.25">
      <c r="A25" s="108" t="s">
        <v>35</v>
      </c>
      <c r="B25" s="109"/>
      <c r="C25" s="26">
        <f>C24/11</f>
        <v>93803.545454545456</v>
      </c>
      <c r="D25" s="28">
        <f>D24/11</f>
        <v>41.540708469016586</v>
      </c>
      <c r="E25" s="26">
        <f>E24/11</f>
        <v>33335.545454545456</v>
      </c>
      <c r="F25" s="28">
        <f>F24/11</f>
        <v>45.226260757770675</v>
      </c>
      <c r="G25" s="26">
        <f>G24/7</f>
        <v>38728</v>
      </c>
      <c r="H25" s="89">
        <f>H24/7</f>
        <v>46.042423259071349</v>
      </c>
      <c r="I25" s="34">
        <f>I24/8</f>
        <v>39.128527993937382</v>
      </c>
      <c r="J25" s="87">
        <f>J24/8</f>
        <v>39.128527993937382</v>
      </c>
      <c r="K25" s="69">
        <f>K24/11</f>
        <v>53288.727272727272</v>
      </c>
      <c r="L25" s="63">
        <f>L24/11</f>
        <v>21.515410501855509</v>
      </c>
      <c r="M25" s="69">
        <f>M24/11</f>
        <v>18577.454545454544</v>
      </c>
      <c r="N25" s="63">
        <f>N24/11</f>
        <v>21.056495187523101</v>
      </c>
      <c r="O25" s="69">
        <f>O24/7</f>
        <v>28482.571428571428</v>
      </c>
      <c r="P25" s="63">
        <f>P24/7</f>
        <v>30.656106405168341</v>
      </c>
      <c r="Q25" s="69">
        <f>Q24/8</f>
        <v>37184.125</v>
      </c>
      <c r="R25" s="63">
        <f>R24/8</f>
        <v>26.319442157680633</v>
      </c>
    </row>
    <row r="27" spans="1:18" x14ac:dyDescent="0.25">
      <c r="A27" t="s">
        <v>89</v>
      </c>
    </row>
  </sheetData>
  <mergeCells count="20">
    <mergeCell ref="A22:B22"/>
    <mergeCell ref="A24:B24"/>
    <mergeCell ref="A25:B25"/>
    <mergeCell ref="C5:D5"/>
    <mergeCell ref="E5:F5"/>
    <mergeCell ref="A17:R17"/>
    <mergeCell ref="A15:B15"/>
    <mergeCell ref="A4:A6"/>
    <mergeCell ref="B4:B6"/>
    <mergeCell ref="A16:B16"/>
    <mergeCell ref="A23:B23"/>
    <mergeCell ref="A2:R2"/>
    <mergeCell ref="C4:J4"/>
    <mergeCell ref="K4:R4"/>
    <mergeCell ref="K5:L5"/>
    <mergeCell ref="M5:N5"/>
    <mergeCell ref="O5:P5"/>
    <mergeCell ref="Q5:R5"/>
    <mergeCell ref="G5:H5"/>
    <mergeCell ref="I5:J5"/>
  </mergeCells>
  <pageMargins left="0.70000000000000007" right="0.70000000000000007" top="0.75" bottom="0.75" header="0.30000000000000004" footer="0.30000000000000004"/>
  <pageSetup orientation="portrait" r:id="rId1"/>
  <ignoredErrors>
    <ignoredError sqref="I24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J27"/>
  <sheetViews>
    <sheetView topLeftCell="A4" workbookViewId="0">
      <selection activeCell="L42" sqref="L42"/>
    </sheetView>
  </sheetViews>
  <sheetFormatPr defaultRowHeight="15" x14ac:dyDescent="0.25"/>
  <cols>
    <col min="1" max="1" width="5.28515625" customWidth="1"/>
    <col min="2" max="2" width="28.140625" customWidth="1"/>
    <col min="3" max="3" width="8.7109375" customWidth="1"/>
    <col min="4" max="4" width="9.7109375" customWidth="1"/>
    <col min="5" max="5" width="8.7109375" customWidth="1"/>
    <col min="6" max="6" width="8.140625" customWidth="1"/>
    <col min="7" max="7" width="8.42578125" customWidth="1"/>
    <col min="8" max="8" width="8.140625" customWidth="1"/>
    <col min="9" max="9" width="8.5703125" customWidth="1"/>
    <col min="10" max="10" width="8.140625" customWidth="1"/>
  </cols>
  <sheetData>
    <row r="2" spans="1:10" ht="15.75" x14ac:dyDescent="0.25">
      <c r="A2" s="162" t="s">
        <v>73</v>
      </c>
      <c r="B2" s="162"/>
      <c r="C2" s="162"/>
      <c r="D2" s="162"/>
      <c r="E2" s="162"/>
      <c r="F2" s="162"/>
      <c r="G2" s="162"/>
      <c r="H2" s="162"/>
      <c r="I2" s="162"/>
      <c r="J2" s="162"/>
    </row>
    <row r="3" spans="1:10" ht="15.75" x14ac:dyDescent="0.25">
      <c r="A3" s="162" t="s">
        <v>74</v>
      </c>
      <c r="B3" s="162"/>
      <c r="C3" s="162"/>
      <c r="D3" s="162"/>
      <c r="E3" s="162"/>
      <c r="F3" s="162"/>
      <c r="G3" s="162"/>
      <c r="H3" s="162"/>
      <c r="I3" s="162"/>
      <c r="J3" s="162"/>
    </row>
    <row r="4" spans="1:10" ht="15.75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0" ht="15.95" customHeight="1" x14ac:dyDescent="0.25">
      <c r="A5" s="115" t="s">
        <v>3</v>
      </c>
      <c r="B5" s="115" t="s">
        <v>4</v>
      </c>
      <c r="C5" s="115" t="s">
        <v>72</v>
      </c>
      <c r="D5" s="115"/>
      <c r="E5" s="115"/>
      <c r="F5" s="115"/>
      <c r="G5" s="115"/>
      <c r="H5" s="115"/>
      <c r="I5" s="115"/>
      <c r="J5" s="115"/>
    </row>
    <row r="6" spans="1:10" ht="12.75" customHeight="1" x14ac:dyDescent="0.25">
      <c r="A6" s="115"/>
      <c r="B6" s="115"/>
      <c r="C6" s="146" t="s">
        <v>61</v>
      </c>
      <c r="D6" s="148"/>
      <c r="E6" s="146" t="s">
        <v>7</v>
      </c>
      <c r="F6" s="148"/>
      <c r="G6" s="146" t="s">
        <v>57</v>
      </c>
      <c r="H6" s="148"/>
      <c r="I6" s="146" t="s">
        <v>58</v>
      </c>
      <c r="J6" s="148"/>
    </row>
    <row r="7" spans="1:10" ht="15" customHeight="1" x14ac:dyDescent="0.25">
      <c r="A7" s="115"/>
      <c r="B7" s="115"/>
      <c r="C7" s="149"/>
      <c r="D7" s="151"/>
      <c r="E7" s="149"/>
      <c r="F7" s="151"/>
      <c r="G7" s="149"/>
      <c r="H7" s="151"/>
      <c r="I7" s="149"/>
      <c r="J7" s="151"/>
    </row>
    <row r="8" spans="1:10" ht="18" customHeight="1" x14ac:dyDescent="0.25">
      <c r="A8" s="115"/>
      <c r="B8" s="115"/>
      <c r="C8" s="64" t="s">
        <v>69</v>
      </c>
      <c r="D8" s="64" t="s">
        <v>54</v>
      </c>
      <c r="E8" s="64" t="s">
        <v>69</v>
      </c>
      <c r="F8" s="64" t="s">
        <v>54</v>
      </c>
      <c r="G8" s="64" t="s">
        <v>69</v>
      </c>
      <c r="H8" s="64" t="s">
        <v>54</v>
      </c>
      <c r="I8" s="64" t="s">
        <v>69</v>
      </c>
      <c r="J8" s="64" t="s">
        <v>54</v>
      </c>
    </row>
    <row r="9" spans="1:10" ht="15.95" customHeight="1" x14ac:dyDescent="0.25">
      <c r="A9" s="152" t="s">
        <v>11</v>
      </c>
      <c r="B9" s="153"/>
      <c r="C9" s="153"/>
      <c r="D9" s="153"/>
      <c r="E9" s="153"/>
      <c r="F9" s="153"/>
      <c r="G9" s="153"/>
      <c r="H9" s="153"/>
      <c r="I9" s="153"/>
      <c r="J9" s="154"/>
    </row>
    <row r="10" spans="1:10" ht="15.95" customHeight="1" x14ac:dyDescent="0.25">
      <c r="A10" s="44" t="s">
        <v>12</v>
      </c>
      <c r="B10" s="47" t="s">
        <v>13</v>
      </c>
      <c r="C10" s="12">
        <v>251604</v>
      </c>
      <c r="D10" s="102">
        <f>C10*100/692018</f>
        <v>36.358013808889368</v>
      </c>
      <c r="E10" s="12">
        <v>84275</v>
      </c>
      <c r="F10" s="14">
        <f>E10*100/241311</f>
        <v>34.923812010227465</v>
      </c>
      <c r="G10" s="12">
        <v>52302</v>
      </c>
      <c r="H10" s="14">
        <f>G10*100/450707</f>
        <v>11.6044348101982</v>
      </c>
      <c r="I10" s="12" t="s">
        <v>15</v>
      </c>
      <c r="J10" s="85" t="s">
        <v>15</v>
      </c>
    </row>
    <row r="11" spans="1:10" ht="15.95" customHeight="1" x14ac:dyDescent="0.25">
      <c r="A11" s="44" t="s">
        <v>16</v>
      </c>
      <c r="B11" s="47" t="s">
        <v>17</v>
      </c>
      <c r="C11" s="12">
        <v>135058</v>
      </c>
      <c r="D11" s="14">
        <f>135058*100/296660</f>
        <v>45.526191599811234</v>
      </c>
      <c r="E11" s="12">
        <v>20424</v>
      </c>
      <c r="F11" s="14">
        <f>20424*100/68619</f>
        <v>29.764350981506581</v>
      </c>
      <c r="G11" s="65">
        <v>12029</v>
      </c>
      <c r="H11" s="85">
        <f>12029*100/19728</f>
        <v>60.9742497972425</v>
      </c>
      <c r="I11" s="65">
        <v>102605</v>
      </c>
      <c r="J11" s="85">
        <f>102605*100/208313</f>
        <v>49.255207308233281</v>
      </c>
    </row>
    <row r="12" spans="1:10" ht="15.95" customHeight="1" x14ac:dyDescent="0.25">
      <c r="A12" s="44" t="s">
        <v>18</v>
      </c>
      <c r="B12" s="47" t="s">
        <v>19</v>
      </c>
      <c r="C12" s="12">
        <v>110846</v>
      </c>
      <c r="D12" s="14">
        <f>110846*100/235691</f>
        <v>47.030221773423676</v>
      </c>
      <c r="E12" s="12">
        <v>22651</v>
      </c>
      <c r="F12" s="14">
        <f>22651*100/79595</f>
        <v>28.457817702116966</v>
      </c>
      <c r="G12" s="65">
        <v>12040</v>
      </c>
      <c r="H12" s="85">
        <f>12040*100/22918</f>
        <v>52.535125229077579</v>
      </c>
      <c r="I12" s="65">
        <v>76155</v>
      </c>
      <c r="J12" s="85">
        <f>76155*100/133178</f>
        <v>57.18286804126808</v>
      </c>
    </row>
    <row r="13" spans="1:10" ht="15.95" customHeight="1" x14ac:dyDescent="0.25">
      <c r="A13" s="44" t="s">
        <v>20</v>
      </c>
      <c r="B13" s="47" t="s">
        <v>21</v>
      </c>
      <c r="C13" s="12">
        <v>21466</v>
      </c>
      <c r="D13" s="14">
        <f>21466*100/38101</f>
        <v>56.33972861604682</v>
      </c>
      <c r="E13" s="12">
        <v>5885</v>
      </c>
      <c r="F13" s="14">
        <f>5885*100/11653</f>
        <v>50.502016648073457</v>
      </c>
      <c r="G13" s="65">
        <v>15581</v>
      </c>
      <c r="H13" s="85">
        <f>15581*100/26448</f>
        <v>58.911826981246222</v>
      </c>
      <c r="I13" s="65" t="s">
        <v>15</v>
      </c>
      <c r="J13" s="85" t="s">
        <v>15</v>
      </c>
    </row>
    <row r="14" spans="1:10" ht="15.95" customHeight="1" x14ac:dyDescent="0.25">
      <c r="A14" s="44" t="s">
        <v>22</v>
      </c>
      <c r="B14" s="47" t="s">
        <v>23</v>
      </c>
      <c r="C14" s="12">
        <v>74501</v>
      </c>
      <c r="D14" s="14">
        <f>C14*100/142020</f>
        <v>52.458104492325027</v>
      </c>
      <c r="E14" s="12">
        <v>74501</v>
      </c>
      <c r="F14" s="14">
        <f>E14*100/142020</f>
        <v>52.458104492325027</v>
      </c>
      <c r="G14" s="12" t="s">
        <v>15</v>
      </c>
      <c r="H14" s="14" t="s">
        <v>15</v>
      </c>
      <c r="I14" s="12" t="s">
        <v>15</v>
      </c>
      <c r="J14" s="14" t="s">
        <v>15</v>
      </c>
    </row>
    <row r="15" spans="1:10" ht="15.95" customHeight="1" x14ac:dyDescent="0.25">
      <c r="A15" s="44" t="s">
        <v>24</v>
      </c>
      <c r="B15" s="47" t="s">
        <v>25</v>
      </c>
      <c r="C15" s="103">
        <v>91193</v>
      </c>
      <c r="D15" s="53">
        <f>C15*100/133197</f>
        <v>68.46475521220448</v>
      </c>
      <c r="E15" s="103">
        <v>26136</v>
      </c>
      <c r="F15" s="53">
        <f>E15*100/41671</f>
        <v>62.719877132778194</v>
      </c>
      <c r="G15" s="103">
        <v>3203</v>
      </c>
      <c r="H15" s="53">
        <f>G15*100/5817</f>
        <v>55.062747120508853</v>
      </c>
      <c r="I15" s="103">
        <v>61854</v>
      </c>
      <c r="J15" s="53">
        <f>I15*100/85709</f>
        <v>72.167450326103449</v>
      </c>
    </row>
    <row r="16" spans="1:10" ht="15.95" customHeight="1" x14ac:dyDescent="0.25">
      <c r="A16" s="44" t="s">
        <v>26</v>
      </c>
      <c r="B16" s="47" t="s">
        <v>27</v>
      </c>
      <c r="C16" s="12">
        <v>95246</v>
      </c>
      <c r="D16" s="14">
        <f>95246*100/232942</f>
        <v>40.888289788874481</v>
      </c>
      <c r="E16" s="12">
        <v>20059</v>
      </c>
      <c r="F16" s="14">
        <f>20059*100/70222</f>
        <v>28.565122041525449</v>
      </c>
      <c r="G16" s="65" t="s">
        <v>15</v>
      </c>
      <c r="H16" s="85" t="s">
        <v>15</v>
      </c>
      <c r="I16" s="65">
        <v>75187</v>
      </c>
      <c r="J16" s="85">
        <f>75187*100/162720</f>
        <v>46.206366764995082</v>
      </c>
    </row>
    <row r="17" spans="1:10" ht="15.95" customHeight="1" x14ac:dyDescent="0.25">
      <c r="A17" s="170" t="s">
        <v>34</v>
      </c>
      <c r="B17" s="170"/>
      <c r="C17" s="22">
        <f t="shared" ref="C17:J17" si="0">SUM(C10:C16)</f>
        <v>779914</v>
      </c>
      <c r="D17" s="86">
        <f t="shared" si="0"/>
        <v>347.0653052915751</v>
      </c>
      <c r="E17" s="22">
        <f t="shared" si="0"/>
        <v>253931</v>
      </c>
      <c r="F17" s="24">
        <f t="shared" si="0"/>
        <v>287.39110100855316</v>
      </c>
      <c r="G17" s="22">
        <f t="shared" si="0"/>
        <v>95155</v>
      </c>
      <c r="H17" s="24">
        <f t="shared" si="0"/>
        <v>239.08838393827335</v>
      </c>
      <c r="I17" s="22">
        <f t="shared" si="0"/>
        <v>315801</v>
      </c>
      <c r="J17" s="24">
        <f t="shared" si="0"/>
        <v>224.81189244059988</v>
      </c>
    </row>
    <row r="18" spans="1:10" ht="15.95" customHeight="1" x14ac:dyDescent="0.25">
      <c r="A18" s="170" t="s">
        <v>36</v>
      </c>
      <c r="B18" s="170"/>
      <c r="C18" s="22">
        <f>C17/7</f>
        <v>111416.28571428571</v>
      </c>
      <c r="D18" s="86">
        <f>D17/7</f>
        <v>49.580757898796442</v>
      </c>
      <c r="E18" s="22">
        <f>E17/7</f>
        <v>36275.857142857145</v>
      </c>
      <c r="F18" s="24">
        <f>F17/7</f>
        <v>41.055871572650453</v>
      </c>
      <c r="G18" s="22">
        <f>G17/5</f>
        <v>19031</v>
      </c>
      <c r="H18" s="24">
        <f>H17/5</f>
        <v>47.817676787654669</v>
      </c>
      <c r="I18" s="22">
        <f>I17/4</f>
        <v>78950.25</v>
      </c>
      <c r="J18" s="24">
        <f>J17/4</f>
        <v>56.202973110149969</v>
      </c>
    </row>
    <row r="19" spans="1:10" ht="15.95" customHeight="1" x14ac:dyDescent="0.25">
      <c r="A19" s="169" t="s">
        <v>28</v>
      </c>
      <c r="B19" s="169"/>
      <c r="C19" s="169"/>
      <c r="D19" s="169"/>
      <c r="E19" s="169"/>
      <c r="F19" s="169"/>
      <c r="G19" s="169"/>
      <c r="H19" s="169"/>
      <c r="I19" s="169"/>
      <c r="J19" s="169"/>
    </row>
    <row r="20" spans="1:10" ht="15.95" customHeight="1" x14ac:dyDescent="0.25">
      <c r="A20" s="44" t="s">
        <v>12</v>
      </c>
      <c r="B20" s="47" t="s">
        <v>29</v>
      </c>
      <c r="C20" s="12">
        <v>80698</v>
      </c>
      <c r="D20" s="14">
        <f>80698*100/171950</f>
        <v>46.931084617621401</v>
      </c>
      <c r="E20" s="12">
        <v>12786</v>
      </c>
      <c r="F20" s="14">
        <f>12786*100/49195</f>
        <v>25.990446183555239</v>
      </c>
      <c r="G20" s="65">
        <v>1973</v>
      </c>
      <c r="H20" s="85">
        <f>1973*100/7075</f>
        <v>27.886925795053003</v>
      </c>
      <c r="I20" s="65">
        <v>65939</v>
      </c>
      <c r="J20" s="85">
        <f>65939*100/115680</f>
        <v>57.001210235131396</v>
      </c>
    </row>
    <row r="21" spans="1:10" ht="15.95" customHeight="1" x14ac:dyDescent="0.25">
      <c r="A21" s="44" t="s">
        <v>16</v>
      </c>
      <c r="B21" s="47" t="s">
        <v>30</v>
      </c>
      <c r="C21" s="12">
        <v>35167</v>
      </c>
      <c r="D21" s="14">
        <f>C21*100/51537</f>
        <v>68.236412674389271</v>
      </c>
      <c r="E21" s="12">
        <v>9412</v>
      </c>
      <c r="F21" s="14">
        <f>E21*100/17079</f>
        <v>55.1086129164471</v>
      </c>
      <c r="G21" s="11" t="s">
        <v>15</v>
      </c>
      <c r="H21" s="14" t="s">
        <v>15</v>
      </c>
      <c r="I21" s="11">
        <v>25755</v>
      </c>
      <c r="J21" s="14">
        <f>I21*100/34458</f>
        <v>74.743165592895693</v>
      </c>
    </row>
    <row r="22" spans="1:10" ht="15.95" customHeight="1" x14ac:dyDescent="0.25">
      <c r="A22" s="44" t="s">
        <v>18</v>
      </c>
      <c r="B22" s="47" t="s">
        <v>31</v>
      </c>
      <c r="C22" s="12">
        <v>71951</v>
      </c>
      <c r="D22" s="14">
        <f>C22*100/139701</f>
        <v>51.503568335230241</v>
      </c>
      <c r="E22" s="12">
        <v>24613</v>
      </c>
      <c r="F22" s="14">
        <f>E22*100/45186</f>
        <v>54.470411189306425</v>
      </c>
      <c r="G22" s="12" t="s">
        <v>15</v>
      </c>
      <c r="H22" s="14" t="s">
        <v>15</v>
      </c>
      <c r="I22" s="12">
        <v>47338</v>
      </c>
      <c r="J22" s="14">
        <f>I22*100/94515</f>
        <v>50.085171665873141</v>
      </c>
    </row>
    <row r="23" spans="1:10" ht="15.95" customHeight="1" x14ac:dyDescent="0.25">
      <c r="A23" s="44" t="s">
        <v>20</v>
      </c>
      <c r="B23" s="47" t="s">
        <v>32</v>
      </c>
      <c r="C23" s="12">
        <v>65476</v>
      </c>
      <c r="D23" s="14">
        <f>65476*100/181726</f>
        <v>36.030067244092756</v>
      </c>
      <c r="E23" s="12">
        <v>23386</v>
      </c>
      <c r="F23" s="14">
        <f>23386*100/72759</f>
        <v>32.141728171085362</v>
      </c>
      <c r="G23" s="65">
        <v>5324</v>
      </c>
      <c r="H23" s="85">
        <f>5324*100/14192</f>
        <v>37.5140924464487</v>
      </c>
      <c r="I23" s="65">
        <v>36766</v>
      </c>
      <c r="J23" s="85">
        <f>36766*100/94775</f>
        <v>38.792930625164864</v>
      </c>
    </row>
    <row r="24" spans="1:10" ht="15.95" customHeight="1" x14ac:dyDescent="0.25">
      <c r="A24" s="170" t="s">
        <v>34</v>
      </c>
      <c r="B24" s="170"/>
      <c r="C24" s="22">
        <f t="shared" ref="C24:J24" si="1">SUM(C20:C23)</f>
        <v>253292</v>
      </c>
      <c r="D24" s="24">
        <f t="shared" si="1"/>
        <v>202.70113287133367</v>
      </c>
      <c r="E24" s="22">
        <f t="shared" si="1"/>
        <v>70197</v>
      </c>
      <c r="F24" s="24">
        <f t="shared" si="1"/>
        <v>167.71119846039412</v>
      </c>
      <c r="G24" s="21">
        <f t="shared" si="1"/>
        <v>7297</v>
      </c>
      <c r="H24" s="24">
        <f t="shared" si="1"/>
        <v>65.401018241501703</v>
      </c>
      <c r="I24" s="21">
        <f t="shared" si="1"/>
        <v>175798</v>
      </c>
      <c r="J24" s="24">
        <f t="shared" si="1"/>
        <v>220.62247811906511</v>
      </c>
    </row>
    <row r="25" spans="1:10" ht="15.95" customHeight="1" x14ac:dyDescent="0.25">
      <c r="A25" s="170" t="s">
        <v>36</v>
      </c>
      <c r="B25" s="170"/>
      <c r="C25" s="22">
        <f>C24/4</f>
        <v>63323</v>
      </c>
      <c r="D25" s="24">
        <f>D24/4</f>
        <v>50.675283217833417</v>
      </c>
      <c r="E25" s="22">
        <f>E24/4</f>
        <v>17549.25</v>
      </c>
      <c r="F25" s="24">
        <f>F24/4</f>
        <v>41.927799615098529</v>
      </c>
      <c r="G25" s="22">
        <f>G24/2</f>
        <v>3648.5</v>
      </c>
      <c r="H25" s="24">
        <f>H24/2</f>
        <v>32.700509120750851</v>
      </c>
      <c r="I25" s="22">
        <f>I24/4</f>
        <v>43949.5</v>
      </c>
      <c r="J25" s="24">
        <f>J24/4</f>
        <v>55.155619529766277</v>
      </c>
    </row>
    <row r="26" spans="1:10" ht="30.75" customHeight="1" x14ac:dyDescent="0.25">
      <c r="A26" s="171" t="s">
        <v>33</v>
      </c>
      <c r="B26" s="171"/>
      <c r="C26" s="26">
        <f>SUM(C17,C24)</f>
        <v>1033206</v>
      </c>
      <c r="D26" s="28">
        <f>SUM(E17,D24)</f>
        <v>254133.70113287133</v>
      </c>
      <c r="E26" s="26">
        <f>SUM(E17,E24)</f>
        <v>324128</v>
      </c>
      <c r="F26" s="28">
        <f>SUM(F17,F24)</f>
        <v>455.10229946894731</v>
      </c>
      <c r="G26" s="34">
        <f>SUM(G17,G24)</f>
        <v>102452</v>
      </c>
      <c r="H26" s="87">
        <f>SUM(H20:H23)</f>
        <v>65.401018241501703</v>
      </c>
      <c r="I26" s="34">
        <f>SUM(I17,I24)</f>
        <v>491599</v>
      </c>
      <c r="J26" s="87">
        <f>SUM(J17,J24)</f>
        <v>445.43437055966501</v>
      </c>
    </row>
    <row r="27" spans="1:10" ht="33.75" customHeight="1" x14ac:dyDescent="0.25">
      <c r="A27" s="171" t="s">
        <v>35</v>
      </c>
      <c r="B27" s="171"/>
      <c r="C27" s="26">
        <f>C26/11</f>
        <v>93927.818181818177</v>
      </c>
      <c r="D27" s="28">
        <f>D26/11</f>
        <v>23103.063739351939</v>
      </c>
      <c r="E27" s="26">
        <f>E26/11</f>
        <v>29466.18181818182</v>
      </c>
      <c r="F27" s="28">
        <f>F26/11</f>
        <v>41.372936315358849</v>
      </c>
      <c r="G27" s="26">
        <f>G26/7</f>
        <v>14636</v>
      </c>
      <c r="H27" s="28">
        <f>H26/7</f>
        <v>9.3430026059288149</v>
      </c>
      <c r="I27" s="34">
        <f>I26/8</f>
        <v>61449.875</v>
      </c>
      <c r="J27" s="87">
        <f>J26/8</f>
        <v>55.679296319958127</v>
      </c>
    </row>
  </sheetData>
  <mergeCells count="17">
    <mergeCell ref="A2:J2"/>
    <mergeCell ref="A5:A8"/>
    <mergeCell ref="B5:B8"/>
    <mergeCell ref="C5:J5"/>
    <mergeCell ref="A24:B24"/>
    <mergeCell ref="A26:B26"/>
    <mergeCell ref="A27:B27"/>
    <mergeCell ref="A3:J3"/>
    <mergeCell ref="C6:D7"/>
    <mergeCell ref="E6:F7"/>
    <mergeCell ref="G6:H7"/>
    <mergeCell ref="I6:J7"/>
    <mergeCell ref="A9:J9"/>
    <mergeCell ref="A17:B17"/>
    <mergeCell ref="A19:J19"/>
    <mergeCell ref="A18:B18"/>
    <mergeCell ref="A25:B25"/>
  </mergeCells>
  <pageMargins left="0.70000000000000007" right="0.70000000000000007" top="0.75" bottom="0.75" header="0.30000000000000004" footer="0.30000000000000004"/>
  <pageSetup paperSize="9" orientation="portrait" r:id="rId1"/>
  <ignoredErrors>
    <ignoredError sqref="D26 H26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O25"/>
  <sheetViews>
    <sheetView topLeftCell="A4" workbookViewId="0">
      <selection activeCell="A23" sqref="A23:B23"/>
    </sheetView>
  </sheetViews>
  <sheetFormatPr defaultRowHeight="15" x14ac:dyDescent="0.25"/>
  <cols>
    <col min="1" max="1" width="5" customWidth="1"/>
    <col min="2" max="2" width="27.28515625" customWidth="1"/>
    <col min="3" max="3" width="12" customWidth="1"/>
    <col min="4" max="4" width="9.140625" customWidth="1"/>
    <col min="5" max="5" width="9.7109375" customWidth="1"/>
    <col min="6" max="6" width="8.5703125" customWidth="1"/>
    <col min="7" max="7" width="12.28515625" customWidth="1"/>
    <col min="8" max="8" width="10.28515625" customWidth="1"/>
    <col min="9" max="9" width="11.140625" customWidth="1"/>
    <col min="10" max="10" width="10" customWidth="1"/>
  </cols>
  <sheetData>
    <row r="2" spans="1:15" ht="15.75" x14ac:dyDescent="0.25">
      <c r="A2" s="136" t="s">
        <v>77</v>
      </c>
      <c r="B2" s="136"/>
      <c r="C2" s="136"/>
      <c r="D2" s="136"/>
      <c r="E2" s="136"/>
      <c r="F2" s="136"/>
      <c r="G2" s="136"/>
      <c r="H2" s="136"/>
      <c r="I2" s="136"/>
      <c r="J2" s="136"/>
      <c r="K2" s="70"/>
      <c r="L2" s="70"/>
      <c r="M2" s="70"/>
      <c r="N2" s="70"/>
      <c r="O2" s="70"/>
    </row>
    <row r="3" spans="1:15" ht="15.75" x14ac:dyDescent="0.25">
      <c r="A3" s="136" t="s">
        <v>78</v>
      </c>
      <c r="B3" s="136"/>
      <c r="C3" s="136"/>
      <c r="D3" s="136"/>
      <c r="E3" s="136"/>
      <c r="F3" s="136"/>
      <c r="G3" s="136"/>
      <c r="H3" s="136"/>
      <c r="I3" s="136"/>
      <c r="J3" s="136"/>
    </row>
    <row r="4" spans="1:15" ht="15.75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5" ht="15.95" customHeight="1" x14ac:dyDescent="0.25">
      <c r="A5" s="115" t="s">
        <v>3</v>
      </c>
      <c r="B5" s="115" t="s">
        <v>4</v>
      </c>
      <c r="C5" s="139" t="s">
        <v>75</v>
      </c>
      <c r="D5" s="140"/>
      <c r="E5" s="140"/>
      <c r="F5" s="155"/>
      <c r="G5" s="139" t="s">
        <v>76</v>
      </c>
      <c r="H5" s="140"/>
      <c r="I5" s="140"/>
      <c r="J5" s="155"/>
    </row>
    <row r="6" spans="1:15" ht="34.5" customHeight="1" x14ac:dyDescent="0.25">
      <c r="A6" s="115"/>
      <c r="B6" s="115"/>
      <c r="C6" s="64" t="s">
        <v>61</v>
      </c>
      <c r="D6" s="64" t="s">
        <v>7</v>
      </c>
      <c r="E6" s="64" t="s">
        <v>57</v>
      </c>
      <c r="F6" s="64" t="s">
        <v>58</v>
      </c>
      <c r="G6" s="64" t="s">
        <v>61</v>
      </c>
      <c r="H6" s="64" t="s">
        <v>7</v>
      </c>
      <c r="I6" s="64" t="s">
        <v>57</v>
      </c>
      <c r="J6" s="64" t="s">
        <v>58</v>
      </c>
    </row>
    <row r="7" spans="1:15" ht="15.95" customHeight="1" x14ac:dyDescent="0.25">
      <c r="A7" s="71" t="s">
        <v>11</v>
      </c>
      <c r="B7" s="71"/>
      <c r="C7" s="71"/>
      <c r="D7" s="71"/>
      <c r="E7" s="71"/>
      <c r="F7" s="71"/>
      <c r="G7" s="71"/>
      <c r="H7" s="71"/>
      <c r="I7" s="71"/>
      <c r="J7" s="71"/>
    </row>
    <row r="8" spans="1:15" ht="15.95" customHeight="1" x14ac:dyDescent="0.25">
      <c r="A8" s="44" t="s">
        <v>12</v>
      </c>
      <c r="B8" s="47" t="s">
        <v>13</v>
      </c>
      <c r="C8" s="12">
        <v>421876</v>
      </c>
      <c r="D8" s="12">
        <v>124401</v>
      </c>
      <c r="E8" s="12">
        <f>281224+16251</f>
        <v>297475</v>
      </c>
      <c r="F8" s="12" t="s">
        <v>15</v>
      </c>
      <c r="G8" s="65">
        <v>270142</v>
      </c>
      <c r="H8" s="65">
        <v>116910</v>
      </c>
      <c r="I8" s="65">
        <f>148233+999</f>
        <v>149232</v>
      </c>
      <c r="J8" s="65" t="s">
        <v>15</v>
      </c>
    </row>
    <row r="9" spans="1:15" ht="15.95" customHeight="1" x14ac:dyDescent="0.25">
      <c r="A9" s="44" t="s">
        <v>16</v>
      </c>
      <c r="B9" s="47" t="s">
        <v>17</v>
      </c>
      <c r="C9" s="12">
        <v>188819</v>
      </c>
      <c r="D9" s="12">
        <v>49685</v>
      </c>
      <c r="E9" s="12">
        <v>11669</v>
      </c>
      <c r="F9" s="12">
        <v>127465</v>
      </c>
      <c r="G9" s="65">
        <v>107841</v>
      </c>
      <c r="H9" s="65">
        <v>18934</v>
      </c>
      <c r="I9" s="65">
        <v>8059</v>
      </c>
      <c r="J9" s="65">
        <v>80848</v>
      </c>
    </row>
    <row r="10" spans="1:15" ht="15.95" customHeight="1" x14ac:dyDescent="0.25">
      <c r="A10" s="44" t="s">
        <v>18</v>
      </c>
      <c r="B10" s="47" t="s">
        <v>19</v>
      </c>
      <c r="C10" s="12">
        <v>159039</v>
      </c>
      <c r="D10" s="12">
        <v>55398</v>
      </c>
      <c r="E10" s="12">
        <v>13814</v>
      </c>
      <c r="F10" s="12">
        <v>89827</v>
      </c>
      <c r="G10" s="65">
        <v>76652</v>
      </c>
      <c r="H10" s="65">
        <v>24197</v>
      </c>
      <c r="I10" s="65">
        <v>9104</v>
      </c>
      <c r="J10" s="65">
        <v>43351</v>
      </c>
    </row>
    <row r="11" spans="1:15" ht="15.95" customHeight="1" x14ac:dyDescent="0.25">
      <c r="A11" s="44" t="s">
        <v>20</v>
      </c>
      <c r="B11" s="47" t="s">
        <v>21</v>
      </c>
      <c r="C11" s="12">
        <v>17633</v>
      </c>
      <c r="D11" s="12">
        <v>6766</v>
      </c>
      <c r="E11" s="12">
        <v>10867</v>
      </c>
      <c r="F11" s="12" t="s">
        <v>15</v>
      </c>
      <c r="G11" s="65">
        <v>20468</v>
      </c>
      <c r="H11" s="65">
        <v>4887</v>
      </c>
      <c r="I11" s="65">
        <v>15581</v>
      </c>
      <c r="J11" s="65" t="s">
        <v>15</v>
      </c>
    </row>
    <row r="12" spans="1:15" ht="15.95" customHeight="1" x14ac:dyDescent="0.25">
      <c r="A12" s="44" t="s">
        <v>22</v>
      </c>
      <c r="B12" s="47" t="s">
        <v>23</v>
      </c>
      <c r="C12" s="12">
        <v>61953</v>
      </c>
      <c r="D12" s="12">
        <v>61953</v>
      </c>
      <c r="E12" s="12" t="s">
        <v>15</v>
      </c>
      <c r="F12" s="12" t="s">
        <v>15</v>
      </c>
      <c r="G12" s="65">
        <v>80067</v>
      </c>
      <c r="H12" s="65">
        <v>80067</v>
      </c>
      <c r="I12" s="65" t="s">
        <v>15</v>
      </c>
      <c r="J12" s="65" t="s">
        <v>15</v>
      </c>
    </row>
    <row r="13" spans="1:15" ht="15.95" customHeight="1" x14ac:dyDescent="0.25">
      <c r="A13" s="44" t="s">
        <v>24</v>
      </c>
      <c r="B13" s="47" t="s">
        <v>25</v>
      </c>
      <c r="C13" s="12">
        <v>70475</v>
      </c>
      <c r="D13" s="12">
        <v>17579</v>
      </c>
      <c r="E13" s="12">
        <v>2965</v>
      </c>
      <c r="F13" s="12">
        <v>49931</v>
      </c>
      <c r="G13" s="65">
        <v>62722</v>
      </c>
      <c r="H13" s="65">
        <v>24092</v>
      </c>
      <c r="I13" s="65">
        <v>2852</v>
      </c>
      <c r="J13" s="65">
        <v>35778</v>
      </c>
    </row>
    <row r="14" spans="1:15" ht="15.95" customHeight="1" x14ac:dyDescent="0.25">
      <c r="A14" s="44" t="s">
        <v>26</v>
      </c>
      <c r="B14" s="47" t="s">
        <v>27</v>
      </c>
      <c r="C14" s="12">
        <v>110844</v>
      </c>
      <c r="D14" s="12">
        <v>37549</v>
      </c>
      <c r="E14" s="12" t="s">
        <v>15</v>
      </c>
      <c r="F14" s="12">
        <v>73295</v>
      </c>
      <c r="G14" s="65">
        <v>122098</v>
      </c>
      <c r="H14" s="65">
        <v>32673</v>
      </c>
      <c r="I14" s="65" t="s">
        <v>15</v>
      </c>
      <c r="J14" s="65">
        <v>89425</v>
      </c>
    </row>
    <row r="15" spans="1:15" ht="15.95" customHeight="1" x14ac:dyDescent="0.25">
      <c r="A15" s="170" t="s">
        <v>34</v>
      </c>
      <c r="B15" s="170"/>
      <c r="C15" s="22">
        <f t="shared" ref="C15:J15" si="0">SUM(C8:C14)</f>
        <v>1030639</v>
      </c>
      <c r="D15" s="59">
        <f t="shared" si="0"/>
        <v>353331</v>
      </c>
      <c r="E15" s="22">
        <f t="shared" si="0"/>
        <v>336790</v>
      </c>
      <c r="F15" s="22">
        <f t="shared" si="0"/>
        <v>340518</v>
      </c>
      <c r="G15" s="21">
        <f t="shared" si="0"/>
        <v>739990</v>
      </c>
      <c r="H15" s="21">
        <f t="shared" si="0"/>
        <v>301760</v>
      </c>
      <c r="I15" s="21">
        <f t="shared" si="0"/>
        <v>184828</v>
      </c>
      <c r="J15" s="21">
        <f t="shared" si="0"/>
        <v>249402</v>
      </c>
    </row>
    <row r="16" spans="1:15" ht="15.95" customHeight="1" x14ac:dyDescent="0.25">
      <c r="A16" s="112" t="s">
        <v>36</v>
      </c>
      <c r="B16" s="113"/>
      <c r="C16" s="22">
        <f>C15/7</f>
        <v>147234.14285714287</v>
      </c>
      <c r="D16" s="59">
        <f>D15/7</f>
        <v>50475.857142857145</v>
      </c>
      <c r="E16" s="22">
        <f>E15/5</f>
        <v>67358</v>
      </c>
      <c r="F16" s="22">
        <f>F15/4</f>
        <v>85129.5</v>
      </c>
      <c r="G16" s="21">
        <f>G15/7</f>
        <v>105712.85714285714</v>
      </c>
      <c r="H16" s="21">
        <f>H15/7</f>
        <v>43108.571428571428</v>
      </c>
      <c r="I16" s="21">
        <f>I15/5</f>
        <v>36965.599999999999</v>
      </c>
      <c r="J16" s="21">
        <f>J15/4</f>
        <v>62350.5</v>
      </c>
    </row>
    <row r="17" spans="1:10" ht="15.95" customHeight="1" x14ac:dyDescent="0.25">
      <c r="A17" s="169" t="s">
        <v>28</v>
      </c>
      <c r="B17" s="169"/>
      <c r="C17" s="169"/>
      <c r="D17" s="169"/>
      <c r="E17" s="169"/>
      <c r="F17" s="169"/>
      <c r="G17" s="169"/>
      <c r="H17" s="169"/>
      <c r="I17" s="169"/>
      <c r="J17" s="169"/>
    </row>
    <row r="18" spans="1:10" ht="15.95" customHeight="1" x14ac:dyDescent="0.25">
      <c r="A18" s="44" t="s">
        <v>12</v>
      </c>
      <c r="B18" s="47" t="s">
        <v>29</v>
      </c>
      <c r="C18" s="12">
        <v>120566</v>
      </c>
      <c r="D18" s="12">
        <v>35617</v>
      </c>
      <c r="E18" s="12">
        <v>5874</v>
      </c>
      <c r="F18" s="12">
        <v>79075</v>
      </c>
      <c r="G18" s="65">
        <v>51384</v>
      </c>
      <c r="H18" s="65">
        <v>13578</v>
      </c>
      <c r="I18" s="65">
        <v>1201</v>
      </c>
      <c r="J18" s="65">
        <v>36605</v>
      </c>
    </row>
    <row r="19" spans="1:10" ht="15.95" customHeight="1" x14ac:dyDescent="0.25">
      <c r="A19" s="44" t="s">
        <v>16</v>
      </c>
      <c r="B19" s="47" t="s">
        <v>30</v>
      </c>
      <c r="C19" s="12">
        <v>39077</v>
      </c>
      <c r="D19" s="12">
        <v>13025</v>
      </c>
      <c r="E19" s="12" t="s">
        <v>15</v>
      </c>
      <c r="F19" s="12">
        <v>26052</v>
      </c>
      <c r="G19" s="65">
        <v>12460</v>
      </c>
      <c r="H19" s="65">
        <v>4054</v>
      </c>
      <c r="I19" s="65" t="s">
        <v>15</v>
      </c>
      <c r="J19" s="65">
        <v>8406</v>
      </c>
    </row>
    <row r="20" spans="1:10" ht="15.95" customHeight="1" x14ac:dyDescent="0.25">
      <c r="A20" s="44" t="s">
        <v>18</v>
      </c>
      <c r="B20" s="47" t="s">
        <v>31</v>
      </c>
      <c r="C20" s="12">
        <v>75483</v>
      </c>
      <c r="D20" s="12">
        <v>20808</v>
      </c>
      <c r="E20" s="12" t="s">
        <v>15</v>
      </c>
      <c r="F20" s="12">
        <v>54675</v>
      </c>
      <c r="G20" s="65">
        <v>64218</v>
      </c>
      <c r="H20" s="65">
        <v>24378</v>
      </c>
      <c r="I20" s="65" t="s">
        <v>15</v>
      </c>
      <c r="J20" s="65">
        <v>39840</v>
      </c>
    </row>
    <row r="21" spans="1:10" ht="15.95" customHeight="1" x14ac:dyDescent="0.25">
      <c r="A21" s="44" t="s">
        <v>20</v>
      </c>
      <c r="B21" s="47" t="s">
        <v>32</v>
      </c>
      <c r="C21" s="12">
        <v>124814</v>
      </c>
      <c r="D21" s="12">
        <v>48458</v>
      </c>
      <c r="E21" s="12">
        <v>7193</v>
      </c>
      <c r="F21" s="12">
        <v>69163</v>
      </c>
      <c r="G21" s="65">
        <v>56912</v>
      </c>
      <c r="H21" s="65">
        <v>24301</v>
      </c>
      <c r="I21" s="65">
        <v>6999</v>
      </c>
      <c r="J21" s="65">
        <v>25612</v>
      </c>
    </row>
    <row r="22" spans="1:10" ht="15.95" customHeight="1" x14ac:dyDescent="0.25">
      <c r="A22" s="170" t="s">
        <v>34</v>
      </c>
      <c r="B22" s="170"/>
      <c r="C22" s="22">
        <f t="shared" ref="C22:J22" si="1">SUM(C18:C21)</f>
        <v>359940</v>
      </c>
      <c r="D22" s="22">
        <f t="shared" si="1"/>
        <v>117908</v>
      </c>
      <c r="E22" s="22">
        <f t="shared" si="1"/>
        <v>13067</v>
      </c>
      <c r="F22" s="22">
        <f t="shared" si="1"/>
        <v>228965</v>
      </c>
      <c r="G22" s="21">
        <f t="shared" si="1"/>
        <v>184974</v>
      </c>
      <c r="H22" s="21">
        <f t="shared" si="1"/>
        <v>66311</v>
      </c>
      <c r="I22" s="21">
        <f t="shared" si="1"/>
        <v>8200</v>
      </c>
      <c r="J22" s="21">
        <f t="shared" si="1"/>
        <v>110463</v>
      </c>
    </row>
    <row r="23" spans="1:10" ht="15.95" customHeight="1" x14ac:dyDescent="0.25">
      <c r="A23" s="112" t="s">
        <v>36</v>
      </c>
      <c r="B23" s="113"/>
      <c r="C23" s="22">
        <f>C22/4</f>
        <v>89985</v>
      </c>
      <c r="D23" s="22">
        <f>D22/4</f>
        <v>29477</v>
      </c>
      <c r="E23" s="22">
        <f>E22/2</f>
        <v>6533.5</v>
      </c>
      <c r="F23" s="22">
        <f>F22/4</f>
        <v>57241.25</v>
      </c>
      <c r="G23" s="21">
        <f>G22/4</f>
        <v>46243.5</v>
      </c>
      <c r="H23" s="21">
        <f>H22/4</f>
        <v>16577.75</v>
      </c>
      <c r="I23" s="21">
        <f>I22/2</f>
        <v>4100</v>
      </c>
      <c r="J23" s="21">
        <f>J22/4</f>
        <v>27615.75</v>
      </c>
    </row>
    <row r="24" spans="1:10" ht="29.25" customHeight="1" x14ac:dyDescent="0.25">
      <c r="A24" s="171" t="s">
        <v>33</v>
      </c>
      <c r="B24" s="171"/>
      <c r="C24" s="26">
        <f t="shared" ref="C24:J24" si="2">SUM(C15,C22)</f>
        <v>1390579</v>
      </c>
      <c r="D24" s="26">
        <f t="shared" si="2"/>
        <v>471239</v>
      </c>
      <c r="E24" s="26">
        <f t="shared" si="2"/>
        <v>349857</v>
      </c>
      <c r="F24" s="26">
        <f t="shared" si="2"/>
        <v>569483</v>
      </c>
      <c r="G24" s="33">
        <f t="shared" si="2"/>
        <v>924964</v>
      </c>
      <c r="H24" s="33">
        <f t="shared" si="2"/>
        <v>368071</v>
      </c>
      <c r="I24" s="33">
        <f t="shared" si="2"/>
        <v>193028</v>
      </c>
      <c r="J24" s="33">
        <f t="shared" si="2"/>
        <v>359865</v>
      </c>
    </row>
    <row r="25" spans="1:10" ht="32.25" customHeight="1" x14ac:dyDescent="0.25">
      <c r="A25" s="171" t="s">
        <v>35</v>
      </c>
      <c r="B25" s="171"/>
      <c r="C25" s="26">
        <f>C24/11</f>
        <v>126416.27272727272</v>
      </c>
      <c r="D25" s="26">
        <f>D24/11</f>
        <v>42839.909090909088</v>
      </c>
      <c r="E25" s="26">
        <f>E24/7</f>
        <v>49979.571428571428</v>
      </c>
      <c r="F25" s="26">
        <f>F24/8</f>
        <v>71185.375</v>
      </c>
      <c r="G25" s="26">
        <f>G24/11</f>
        <v>84087.636363636368</v>
      </c>
      <c r="H25" s="26">
        <f>H24/11</f>
        <v>33461</v>
      </c>
      <c r="I25" s="34">
        <f>I24/7</f>
        <v>27575.428571428572</v>
      </c>
      <c r="J25" s="34">
        <f>J24/8</f>
        <v>44983.125</v>
      </c>
    </row>
  </sheetData>
  <mergeCells count="13">
    <mergeCell ref="A24:B24"/>
    <mergeCell ref="A25:B25"/>
    <mergeCell ref="A5:A6"/>
    <mergeCell ref="B5:B6"/>
    <mergeCell ref="C5:F5"/>
    <mergeCell ref="A23:B23"/>
    <mergeCell ref="A3:J3"/>
    <mergeCell ref="A2:J2"/>
    <mergeCell ref="A15:B15"/>
    <mergeCell ref="A17:J17"/>
    <mergeCell ref="A22:B22"/>
    <mergeCell ref="G5:J5"/>
    <mergeCell ref="A16:B16"/>
  </mergeCells>
  <pageMargins left="0.70000000000000007" right="0.70000000000000007" top="0.75" bottom="0.75" header="0.30000000000000004" footer="0.30000000000000004"/>
  <ignoredErrors>
    <ignoredError sqref="E23 I23" formula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L25"/>
  <sheetViews>
    <sheetView workbookViewId="0">
      <selection activeCell="A16" sqref="A16:B16"/>
    </sheetView>
  </sheetViews>
  <sheetFormatPr defaultRowHeight="15" x14ac:dyDescent="0.25"/>
  <cols>
    <col min="1" max="1" width="5.28515625" customWidth="1"/>
    <col min="2" max="2" width="27.42578125" customWidth="1"/>
    <col min="3" max="3" width="12" customWidth="1"/>
    <col min="4" max="4" width="8.5703125" customWidth="1"/>
    <col min="5" max="5" width="9" customWidth="1"/>
    <col min="6" max="6" width="8" customWidth="1"/>
    <col min="7" max="7" width="12.140625" customWidth="1"/>
    <col min="8" max="8" width="8.42578125" customWidth="1"/>
    <col min="9" max="9" width="8.140625" customWidth="1"/>
    <col min="10" max="10" width="7.85546875" customWidth="1"/>
  </cols>
  <sheetData>
    <row r="2" spans="1:12" ht="15.75" x14ac:dyDescent="0.25">
      <c r="A2" s="136" t="s">
        <v>79</v>
      </c>
      <c r="B2" s="136"/>
      <c r="C2" s="136"/>
      <c r="D2" s="136"/>
      <c r="E2" s="136"/>
      <c r="F2" s="136"/>
      <c r="G2" s="136"/>
      <c r="H2" s="136"/>
      <c r="I2" s="136"/>
      <c r="J2" s="136"/>
      <c r="K2" s="70"/>
      <c r="L2" s="70"/>
    </row>
    <row r="3" spans="1:12" ht="15.75" x14ac:dyDescent="0.25">
      <c r="A3" s="136" t="s">
        <v>80</v>
      </c>
      <c r="B3" s="136"/>
      <c r="C3" s="136"/>
      <c r="D3" s="136"/>
      <c r="E3" s="136"/>
      <c r="F3" s="136"/>
      <c r="G3" s="136"/>
      <c r="H3" s="136"/>
      <c r="I3" s="136"/>
      <c r="J3" s="136"/>
      <c r="K3" s="79"/>
      <c r="L3" s="79"/>
    </row>
    <row r="4" spans="1:12" ht="15.75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2" ht="15.95" customHeight="1" x14ac:dyDescent="0.25">
      <c r="A5" s="115" t="s">
        <v>3</v>
      </c>
      <c r="B5" s="115" t="s">
        <v>4</v>
      </c>
      <c r="C5" s="139" t="s">
        <v>81</v>
      </c>
      <c r="D5" s="140"/>
      <c r="E5" s="140"/>
      <c r="F5" s="155"/>
      <c r="G5" s="139" t="s">
        <v>82</v>
      </c>
      <c r="H5" s="140"/>
      <c r="I5" s="140"/>
      <c r="J5" s="155"/>
    </row>
    <row r="6" spans="1:12" ht="30.75" customHeight="1" x14ac:dyDescent="0.25">
      <c r="A6" s="115"/>
      <c r="B6" s="115"/>
      <c r="C6" s="64" t="s">
        <v>61</v>
      </c>
      <c r="D6" s="64" t="s">
        <v>7</v>
      </c>
      <c r="E6" s="64" t="s">
        <v>57</v>
      </c>
      <c r="F6" s="64" t="s">
        <v>58</v>
      </c>
      <c r="G6" s="64" t="s">
        <v>61</v>
      </c>
      <c r="H6" s="64" t="s">
        <v>7</v>
      </c>
      <c r="I6" s="64" t="s">
        <v>57</v>
      </c>
      <c r="J6" s="64" t="s">
        <v>58</v>
      </c>
    </row>
    <row r="7" spans="1:12" ht="15.95" customHeight="1" x14ac:dyDescent="0.25">
      <c r="A7" s="71" t="s">
        <v>11</v>
      </c>
      <c r="B7" s="72"/>
      <c r="C7" s="73"/>
      <c r="D7" s="73"/>
      <c r="E7" s="73"/>
      <c r="F7" s="73"/>
      <c r="G7" s="73"/>
      <c r="H7" s="73"/>
      <c r="I7" s="73"/>
      <c r="J7" s="74"/>
    </row>
    <row r="8" spans="1:12" ht="15.95" customHeight="1" x14ac:dyDescent="0.25">
      <c r="A8" s="44" t="s">
        <v>12</v>
      </c>
      <c r="B8" s="47" t="s">
        <v>13</v>
      </c>
      <c r="C8" s="14">
        <f>692018/24930</f>
        <v>27.758443642198156</v>
      </c>
      <c r="D8" s="14">
        <f>241311/7690</f>
        <v>31.379843953185954</v>
      </c>
      <c r="E8" s="14">
        <f>450707/17240</f>
        <v>26.143097447795824</v>
      </c>
      <c r="F8" s="14" t="s">
        <v>15</v>
      </c>
      <c r="G8" s="85">
        <f>405588/24930</f>
        <v>16.269073405535501</v>
      </c>
      <c r="H8" s="85">
        <f>114320/7690</f>
        <v>14.866059817945384</v>
      </c>
      <c r="I8" s="85">
        <f>291268/17240</f>
        <v>16.89489559164733</v>
      </c>
      <c r="J8" s="85" t="s">
        <v>15</v>
      </c>
    </row>
    <row r="9" spans="1:12" ht="15.95" customHeight="1" x14ac:dyDescent="0.25">
      <c r="A9" s="44" t="s">
        <v>16</v>
      </c>
      <c r="B9" s="47" t="s">
        <v>17</v>
      </c>
      <c r="C9" s="14">
        <f>296660/12230</f>
        <v>24.256745707277187</v>
      </c>
      <c r="D9" s="14">
        <f>68619/4176</f>
        <v>16.431752873563219</v>
      </c>
      <c r="E9" s="14">
        <f>19728/737</f>
        <v>26.767978290366351</v>
      </c>
      <c r="F9" s="14">
        <f>208313/7317</f>
        <v>28.469728030613638</v>
      </c>
      <c r="G9" s="85">
        <f>281102/12230</f>
        <v>22.984627964022895</v>
      </c>
      <c r="H9" s="85">
        <f>92675/4176</f>
        <v>22.192289272030653</v>
      </c>
      <c r="I9" s="85">
        <f>15507/737</f>
        <v>21.040705563093624</v>
      </c>
      <c r="J9" s="85">
        <f>172920/7317</f>
        <v>23.632636326363265</v>
      </c>
    </row>
    <row r="10" spans="1:12" ht="15.95" customHeight="1" x14ac:dyDescent="0.25">
      <c r="A10" s="44" t="s">
        <v>18</v>
      </c>
      <c r="B10" s="47" t="s">
        <v>19</v>
      </c>
      <c r="C10" s="14">
        <f>235691/8490</f>
        <v>27.761012956419318</v>
      </c>
      <c r="D10" s="14">
        <f>79595/4201</f>
        <v>18.946679362056653</v>
      </c>
      <c r="E10" s="14">
        <f>22918/573</f>
        <v>39.996509598603836</v>
      </c>
      <c r="F10" s="14">
        <f>133178/3716</f>
        <v>35.839074273412272</v>
      </c>
      <c r="G10" s="85">
        <f>221241/8490</f>
        <v>26.059010600706713</v>
      </c>
      <c r="H10" s="85">
        <f>150857/4201</f>
        <v>35.909783384908359</v>
      </c>
      <c r="I10" s="85">
        <f>8460/573</f>
        <v>14.764397905759163</v>
      </c>
      <c r="J10" s="85">
        <f>61924/3716</f>
        <v>16.664155005382131</v>
      </c>
    </row>
    <row r="11" spans="1:12" ht="15.95" customHeight="1" x14ac:dyDescent="0.25">
      <c r="A11" s="44" t="s">
        <v>20</v>
      </c>
      <c r="B11" s="47" t="s">
        <v>21</v>
      </c>
      <c r="C11" s="14">
        <f>38101/1449</f>
        <v>26.294685990338163</v>
      </c>
      <c r="D11" s="14">
        <f>11653/783</f>
        <v>14.88250319284802</v>
      </c>
      <c r="E11" s="14">
        <f>26448/666</f>
        <v>39.711711711711715</v>
      </c>
      <c r="F11" s="14" t="s">
        <v>15</v>
      </c>
      <c r="G11" s="85">
        <f>23507/1449</f>
        <v>16.222912353347137</v>
      </c>
      <c r="H11" s="85">
        <f>10092/783</f>
        <v>12.888888888888889</v>
      </c>
      <c r="I11" s="85">
        <f>13415/666</f>
        <v>20.142642642642642</v>
      </c>
      <c r="J11" s="85" t="s">
        <v>15</v>
      </c>
    </row>
    <row r="12" spans="1:12" ht="15.95" customHeight="1" x14ac:dyDescent="0.25">
      <c r="A12" s="44" t="s">
        <v>22</v>
      </c>
      <c r="B12" s="47" t="s">
        <v>23</v>
      </c>
      <c r="C12" s="14">
        <f>142020/6249</f>
        <v>22.726836293807008</v>
      </c>
      <c r="D12" s="14">
        <f>142020/6249</f>
        <v>22.726836293807008</v>
      </c>
      <c r="E12" s="14" t="s">
        <v>15</v>
      </c>
      <c r="F12" s="14" t="s">
        <v>15</v>
      </c>
      <c r="G12" s="85">
        <f>92124/6249</f>
        <v>14.742198751800288</v>
      </c>
      <c r="H12" s="85">
        <f>92124/6249</f>
        <v>14.742198751800288</v>
      </c>
      <c r="I12" s="85" t="s">
        <v>15</v>
      </c>
      <c r="J12" s="85" t="s">
        <v>15</v>
      </c>
    </row>
    <row r="13" spans="1:12" ht="15.95" customHeight="1" x14ac:dyDescent="0.25">
      <c r="A13" s="44" t="s">
        <v>24</v>
      </c>
      <c r="B13" s="47" t="s">
        <v>25</v>
      </c>
      <c r="C13" s="14">
        <f>133197/4622</f>
        <v>28.818044136737342</v>
      </c>
      <c r="D13" s="14">
        <f>41671/1764</f>
        <v>23.623015873015873</v>
      </c>
      <c r="E13" s="14">
        <f>5817/263</f>
        <v>22.117870722433459</v>
      </c>
      <c r="F13" s="14">
        <f>85709/2595</f>
        <v>33.028516377649325</v>
      </c>
      <c r="G13" s="85">
        <f>71788/4622</f>
        <v>15.531804413673735</v>
      </c>
      <c r="H13" s="85">
        <f>30394/1764</f>
        <v>17.230158730158731</v>
      </c>
      <c r="I13" s="85">
        <f>3014/263</f>
        <v>11.460076045627376</v>
      </c>
      <c r="J13" s="85">
        <f>38380/2595</f>
        <v>14.789980732177264</v>
      </c>
    </row>
    <row r="14" spans="1:12" ht="15.95" customHeight="1" x14ac:dyDescent="0.25">
      <c r="A14" s="44" t="s">
        <v>26</v>
      </c>
      <c r="B14" s="47" t="s">
        <v>27</v>
      </c>
      <c r="C14" s="14">
        <f>232942/9073</f>
        <v>25.67419817039568</v>
      </c>
      <c r="D14" s="14">
        <f>70222/3437</f>
        <v>20.431189991271459</v>
      </c>
      <c r="E14" s="14" t="s">
        <v>15</v>
      </c>
      <c r="F14" s="14">
        <f>162720/5636</f>
        <v>28.871540099361248</v>
      </c>
      <c r="G14" s="85">
        <f>202642/9073</f>
        <v>22.334619199823653</v>
      </c>
      <c r="H14" s="85">
        <f>59545/3437</f>
        <v>17.324701774803607</v>
      </c>
      <c r="I14" s="85" t="s">
        <v>15</v>
      </c>
      <c r="J14" s="85">
        <f>143097/5636</f>
        <v>25.389815471965932</v>
      </c>
    </row>
    <row r="15" spans="1:12" ht="15.95" customHeight="1" x14ac:dyDescent="0.25">
      <c r="A15" s="170" t="s">
        <v>34</v>
      </c>
      <c r="B15" s="170"/>
      <c r="C15" s="24">
        <f t="shared" ref="C15:J15" si="0">SUM(C8:C14)</f>
        <v>183.28996689717283</v>
      </c>
      <c r="D15" s="86">
        <f t="shared" si="0"/>
        <v>148.42182153974818</v>
      </c>
      <c r="E15" s="24">
        <f t="shared" si="0"/>
        <v>154.73716777091119</v>
      </c>
      <c r="F15" s="24">
        <f t="shared" si="0"/>
        <v>126.20885878103647</v>
      </c>
      <c r="G15" s="24">
        <f t="shared" si="0"/>
        <v>134.14424668890993</v>
      </c>
      <c r="H15" s="24">
        <f t="shared" si="0"/>
        <v>135.15408062053589</v>
      </c>
      <c r="I15" s="24">
        <f t="shared" si="0"/>
        <v>84.302717748770135</v>
      </c>
      <c r="J15" s="24">
        <f t="shared" si="0"/>
        <v>80.476587535888598</v>
      </c>
    </row>
    <row r="16" spans="1:12" ht="15.95" customHeight="1" x14ac:dyDescent="0.25">
      <c r="A16" s="112" t="s">
        <v>36</v>
      </c>
      <c r="B16" s="113"/>
      <c r="C16" s="24">
        <f>C15/7</f>
        <v>26.184280985310405</v>
      </c>
      <c r="D16" s="86">
        <f>D15/7</f>
        <v>21.203117362821168</v>
      </c>
      <c r="E16" s="24">
        <f>E15/5</f>
        <v>30.947433554182236</v>
      </c>
      <c r="F16" s="24">
        <f>F15/4</f>
        <v>31.552214695259117</v>
      </c>
      <c r="G16" s="24">
        <f>G15/7</f>
        <v>19.163463812701419</v>
      </c>
      <c r="H16" s="24">
        <f>H15/7</f>
        <v>19.3077258029337</v>
      </c>
      <c r="I16" s="24">
        <f>I15/5</f>
        <v>16.860543549754027</v>
      </c>
      <c r="J16" s="24">
        <f>J15/4</f>
        <v>20.119146883972149</v>
      </c>
    </row>
    <row r="17" spans="1:10" ht="15.95" customHeight="1" x14ac:dyDescent="0.25">
      <c r="A17" s="169" t="s">
        <v>28</v>
      </c>
      <c r="B17" s="169"/>
      <c r="C17" s="169"/>
      <c r="D17" s="169"/>
      <c r="E17" s="169"/>
      <c r="F17" s="169"/>
      <c r="G17" s="169"/>
      <c r="H17" s="169"/>
      <c r="I17" s="169"/>
      <c r="J17" s="169"/>
    </row>
    <row r="18" spans="1:10" ht="15.95" customHeight="1" x14ac:dyDescent="0.25">
      <c r="A18" s="44" t="s">
        <v>12</v>
      </c>
      <c r="B18" s="47" t="s">
        <v>29</v>
      </c>
      <c r="C18" s="14">
        <f>171950/6231</f>
        <v>27.595891510190981</v>
      </c>
      <c r="D18" s="14">
        <f>49195/2316</f>
        <v>21.241364421416236</v>
      </c>
      <c r="E18" s="14">
        <f>7075/324</f>
        <v>21.836419753086421</v>
      </c>
      <c r="F18" s="14">
        <f>115680/3591</f>
        <v>32.213868003341688</v>
      </c>
      <c r="G18" s="85">
        <f>115772/6231</f>
        <v>18.580003209757663</v>
      </c>
      <c r="H18" s="85">
        <f>39441/2316</f>
        <v>17.029792746113991</v>
      </c>
      <c r="I18" s="85">
        <f>5927/324</f>
        <v>18.293209876543209</v>
      </c>
      <c r="J18" s="85">
        <f>70404/3591</f>
        <v>19.605680868838764</v>
      </c>
    </row>
    <row r="19" spans="1:10" ht="15.95" customHeight="1" x14ac:dyDescent="0.25">
      <c r="A19" s="44" t="s">
        <v>16</v>
      </c>
      <c r="B19" s="47" t="s">
        <v>30</v>
      </c>
      <c r="C19" s="14">
        <f>51537/1997</f>
        <v>25.807210816224337</v>
      </c>
      <c r="D19" s="14">
        <f>17079/802</f>
        <v>21.295511221945137</v>
      </c>
      <c r="E19" s="14" t="s">
        <v>15</v>
      </c>
      <c r="F19" s="14">
        <f>34458/1195</f>
        <v>28.835146443514645</v>
      </c>
      <c r="G19" s="85">
        <f>70456/1997</f>
        <v>35.28092138207311</v>
      </c>
      <c r="H19" s="85">
        <f>47060/802</f>
        <v>58.678304239401498</v>
      </c>
      <c r="I19" s="85" t="s">
        <v>15</v>
      </c>
      <c r="J19" s="85">
        <f>23396/1195</f>
        <v>19.578242677824267</v>
      </c>
    </row>
    <row r="20" spans="1:10" ht="15.95" customHeight="1" x14ac:dyDescent="0.25">
      <c r="A20" s="44" t="s">
        <v>18</v>
      </c>
      <c r="B20" s="47" t="s">
        <v>31</v>
      </c>
      <c r="C20" s="14">
        <f>139701/5528</f>
        <v>25.271526772793052</v>
      </c>
      <c r="D20" s="14">
        <f>45186/1869</f>
        <v>24.176565008025683</v>
      </c>
      <c r="E20" s="14" t="s">
        <v>15</v>
      </c>
      <c r="F20" s="14">
        <f>94515/3659</f>
        <v>25.830828095107954</v>
      </c>
      <c r="G20" s="85">
        <f>92671/5528</f>
        <v>16.763929088277859</v>
      </c>
      <c r="H20" s="85">
        <f>34938/1869</f>
        <v>18.693418940609952</v>
      </c>
      <c r="I20" s="85" t="s">
        <v>15</v>
      </c>
      <c r="J20" s="85">
        <f>57733/3659</f>
        <v>15.778354741732715</v>
      </c>
    </row>
    <row r="21" spans="1:10" ht="15.95" customHeight="1" x14ac:dyDescent="0.25">
      <c r="A21" s="44" t="s">
        <v>20</v>
      </c>
      <c r="B21" s="47" t="s">
        <v>32</v>
      </c>
      <c r="C21" s="14">
        <f>181726/9366</f>
        <v>19.402733290625669</v>
      </c>
      <c r="D21" s="14">
        <f>72759/3695</f>
        <v>19.691204330175914</v>
      </c>
      <c r="E21" s="14">
        <f>14192/879</f>
        <v>16.145620022753128</v>
      </c>
      <c r="F21" s="14">
        <f>94775/4792</f>
        <v>19.777754590984976</v>
      </c>
      <c r="G21" s="85">
        <f>143919/9366</f>
        <v>15.366111467008327</v>
      </c>
      <c r="H21" s="85">
        <f>52832/3695</f>
        <v>14.298240866035183</v>
      </c>
      <c r="I21" s="85">
        <f>11278/879</f>
        <v>12.830489192263936</v>
      </c>
      <c r="J21" s="85">
        <f>79809/4792</f>
        <v>16.654632721202002</v>
      </c>
    </row>
    <row r="22" spans="1:10" ht="15.95" customHeight="1" x14ac:dyDescent="0.25">
      <c r="A22" s="170" t="s">
        <v>34</v>
      </c>
      <c r="B22" s="170"/>
      <c r="C22" s="24">
        <f t="shared" ref="C22:J22" si="1">SUM(C18:C21)</f>
        <v>98.077362389834036</v>
      </c>
      <c r="D22" s="24">
        <f t="shared" si="1"/>
        <v>86.404644981562967</v>
      </c>
      <c r="E22" s="24">
        <f t="shared" si="1"/>
        <v>37.982039775839553</v>
      </c>
      <c r="F22" s="24">
        <f t="shared" si="1"/>
        <v>106.65759713294926</v>
      </c>
      <c r="G22" s="24">
        <f t="shared" si="1"/>
        <v>85.990965147116952</v>
      </c>
      <c r="H22" s="24">
        <f t="shared" si="1"/>
        <v>108.69975679216061</v>
      </c>
      <c r="I22" s="24">
        <f t="shared" si="1"/>
        <v>31.123699068807145</v>
      </c>
      <c r="J22" s="24">
        <f t="shared" si="1"/>
        <v>71.616911009597743</v>
      </c>
    </row>
    <row r="23" spans="1:10" ht="15.95" customHeight="1" x14ac:dyDescent="0.25">
      <c r="A23" s="112" t="s">
        <v>36</v>
      </c>
      <c r="B23" s="113"/>
      <c r="C23" s="24">
        <f>C22/4</f>
        <v>24.519340597458509</v>
      </c>
      <c r="D23" s="24">
        <f>D22/4</f>
        <v>21.601161245390742</v>
      </c>
      <c r="E23" s="24">
        <f>E22/2</f>
        <v>18.991019887919776</v>
      </c>
      <c r="F23" s="24">
        <f>F22/4</f>
        <v>26.664399283237316</v>
      </c>
      <c r="G23" s="24">
        <f>G22/4</f>
        <v>21.497741286779238</v>
      </c>
      <c r="H23" s="24">
        <f>H22/4</f>
        <v>27.174939198040153</v>
      </c>
      <c r="I23" s="24">
        <f>I22/2</f>
        <v>15.561849534403573</v>
      </c>
      <c r="J23" s="24">
        <f>J22/4</f>
        <v>17.904227752399436</v>
      </c>
    </row>
    <row r="24" spans="1:10" ht="29.25" customHeight="1" x14ac:dyDescent="0.25">
      <c r="A24" s="171" t="s">
        <v>33</v>
      </c>
      <c r="B24" s="171"/>
      <c r="C24" s="28">
        <f t="shared" ref="C24:J24" si="2">SUM(C15,C22)</f>
        <v>281.3673292870069</v>
      </c>
      <c r="D24" s="28">
        <f t="shared" si="2"/>
        <v>234.82646652131115</v>
      </c>
      <c r="E24" s="28">
        <f t="shared" si="2"/>
        <v>192.71920754675074</v>
      </c>
      <c r="F24" s="28">
        <f t="shared" si="2"/>
        <v>232.86645591398573</v>
      </c>
      <c r="G24" s="87">
        <f t="shared" si="2"/>
        <v>220.13521183602688</v>
      </c>
      <c r="H24" s="87">
        <f t="shared" si="2"/>
        <v>243.85383741269652</v>
      </c>
      <c r="I24" s="87">
        <f t="shared" si="2"/>
        <v>115.42641681757728</v>
      </c>
      <c r="J24" s="87">
        <f t="shared" si="2"/>
        <v>152.09349854548634</v>
      </c>
    </row>
    <row r="25" spans="1:10" ht="33.75" customHeight="1" x14ac:dyDescent="0.25">
      <c r="A25" s="171" t="s">
        <v>35</v>
      </c>
      <c r="B25" s="171"/>
      <c r="C25" s="28">
        <f>C24/11</f>
        <v>25.578848117000629</v>
      </c>
      <c r="D25" s="28">
        <f>D24/11</f>
        <v>21.34786059284647</v>
      </c>
      <c r="E25" s="28">
        <f>E24/7</f>
        <v>27.531315363821534</v>
      </c>
      <c r="F25" s="28">
        <f>F24/8</f>
        <v>29.108306989248216</v>
      </c>
      <c r="G25" s="28">
        <f>G24/11</f>
        <v>20.012291985093352</v>
      </c>
      <c r="H25" s="28">
        <f>H24/11</f>
        <v>22.168530673881502</v>
      </c>
      <c r="I25" s="87">
        <f>I24/7</f>
        <v>16.489488116796753</v>
      </c>
      <c r="J25" s="87">
        <f>J24/8</f>
        <v>19.011687318185793</v>
      </c>
    </row>
  </sheetData>
  <mergeCells count="13">
    <mergeCell ref="A5:A6"/>
    <mergeCell ref="B5:B6"/>
    <mergeCell ref="C5:F5"/>
    <mergeCell ref="G5:J5"/>
    <mergeCell ref="A2:J2"/>
    <mergeCell ref="A3:J3"/>
    <mergeCell ref="A15:B15"/>
    <mergeCell ref="A17:J17"/>
    <mergeCell ref="A22:B22"/>
    <mergeCell ref="A24:B24"/>
    <mergeCell ref="A25:B25"/>
    <mergeCell ref="A16:B16"/>
    <mergeCell ref="A23:B23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E23 I2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25"/>
  <sheetViews>
    <sheetView topLeftCell="A4" workbookViewId="0">
      <selection activeCell="M21" sqref="M21"/>
    </sheetView>
  </sheetViews>
  <sheetFormatPr defaultRowHeight="15" x14ac:dyDescent="0.25"/>
  <cols>
    <col min="1" max="1" width="4.85546875" customWidth="1"/>
    <col min="2" max="2" width="27.85546875" customWidth="1"/>
    <col min="3" max="3" width="12.28515625" customWidth="1"/>
    <col min="4" max="4" width="9.140625" customWidth="1"/>
    <col min="5" max="5" width="9.42578125" customWidth="1"/>
    <col min="6" max="6" width="8.5703125" customWidth="1"/>
    <col min="7" max="7" width="12.28515625" customWidth="1"/>
    <col min="8" max="8" width="8.85546875" customWidth="1"/>
    <col min="9" max="9" width="8.5703125" customWidth="1"/>
    <col min="10" max="10" width="9.28515625" customWidth="1"/>
  </cols>
  <sheetData>
    <row r="2" spans="1:11" ht="15.75" x14ac:dyDescent="0.25">
      <c r="A2" s="136" t="s">
        <v>83</v>
      </c>
      <c r="B2" s="136"/>
      <c r="C2" s="136"/>
      <c r="D2" s="136"/>
      <c r="E2" s="136"/>
      <c r="F2" s="136"/>
      <c r="G2" s="136"/>
      <c r="H2" s="136"/>
      <c r="I2" s="136"/>
      <c r="J2" s="136"/>
      <c r="K2" s="70"/>
    </row>
    <row r="3" spans="1:11" ht="15.75" x14ac:dyDescent="0.25">
      <c r="A3" s="136" t="s">
        <v>80</v>
      </c>
      <c r="B3" s="136"/>
      <c r="C3" s="136"/>
      <c r="D3" s="136"/>
      <c r="E3" s="136"/>
      <c r="F3" s="136"/>
      <c r="G3" s="136"/>
      <c r="H3" s="136"/>
      <c r="I3" s="136"/>
      <c r="J3" s="136"/>
    </row>
    <row r="4" spans="1:11" ht="15.75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1" ht="15.95" customHeight="1" x14ac:dyDescent="0.25">
      <c r="A5" s="115" t="s">
        <v>3</v>
      </c>
      <c r="B5" s="115" t="s">
        <v>4</v>
      </c>
      <c r="C5" s="139" t="s">
        <v>81</v>
      </c>
      <c r="D5" s="140"/>
      <c r="E5" s="140"/>
      <c r="F5" s="155"/>
      <c r="G5" s="139" t="s">
        <v>82</v>
      </c>
      <c r="H5" s="140"/>
      <c r="I5" s="140"/>
      <c r="J5" s="155"/>
    </row>
    <row r="6" spans="1:11" ht="28.5" customHeight="1" x14ac:dyDescent="0.25">
      <c r="A6" s="115"/>
      <c r="B6" s="115"/>
      <c r="C6" s="64" t="s">
        <v>61</v>
      </c>
      <c r="D6" s="64" t="s">
        <v>7</v>
      </c>
      <c r="E6" s="64" t="s">
        <v>57</v>
      </c>
      <c r="F6" s="64" t="s">
        <v>58</v>
      </c>
      <c r="G6" s="64" t="s">
        <v>61</v>
      </c>
      <c r="H6" s="64" t="s">
        <v>7</v>
      </c>
      <c r="I6" s="64" t="s">
        <v>57</v>
      </c>
      <c r="J6" s="64" t="s">
        <v>58</v>
      </c>
    </row>
    <row r="7" spans="1:11" ht="15.95" customHeight="1" x14ac:dyDescent="0.25">
      <c r="A7" s="71" t="s">
        <v>11</v>
      </c>
      <c r="B7" s="71"/>
      <c r="C7" s="71"/>
      <c r="D7" s="71"/>
      <c r="E7" s="71"/>
      <c r="F7" s="71"/>
      <c r="G7" s="71"/>
      <c r="H7" s="71"/>
      <c r="I7" s="71"/>
      <c r="J7" s="71"/>
    </row>
    <row r="8" spans="1:11" ht="15.95" customHeight="1" x14ac:dyDescent="0.25">
      <c r="A8" s="44" t="s">
        <v>12</v>
      </c>
      <c r="B8" s="47" t="s">
        <v>13</v>
      </c>
      <c r="C8" s="13">
        <f>165696/89081</f>
        <v>1.8600599454429114</v>
      </c>
      <c r="D8" s="13">
        <f>65680/1502</f>
        <v>43.728362183754996</v>
      </c>
      <c r="E8" s="13">
        <f>100016/4979</f>
        <v>20.087567784695722</v>
      </c>
      <c r="F8" s="13" t="s">
        <v>15</v>
      </c>
      <c r="G8" s="13">
        <f>89081/6045</f>
        <v>14.736311000827129</v>
      </c>
      <c r="H8" s="13">
        <f>10256/1502</f>
        <v>6.828229027962716</v>
      </c>
      <c r="I8" s="13">
        <f>71004/4979</f>
        <v>14.260694918658364</v>
      </c>
      <c r="J8" s="13" t="s">
        <v>15</v>
      </c>
    </row>
    <row r="9" spans="1:11" ht="15.95" customHeight="1" x14ac:dyDescent="0.25">
      <c r="A9" s="44" t="s">
        <v>16</v>
      </c>
      <c r="B9" s="47" t="s">
        <v>17</v>
      </c>
      <c r="C9" s="13">
        <f>99376/116027</f>
        <v>0.85649029967162815</v>
      </c>
      <c r="D9" s="13">
        <f>20518/1684</f>
        <v>12.184085510688837</v>
      </c>
      <c r="E9" s="13">
        <f>4255/367</f>
        <v>11.594005449591281</v>
      </c>
      <c r="F9" s="13">
        <f>74603/2385</f>
        <v>31.280083857442349</v>
      </c>
      <c r="G9" s="13">
        <f>116027/4436</f>
        <v>26.155770964833184</v>
      </c>
      <c r="H9" s="13">
        <f>32397/1684</f>
        <v>19.23812351543943</v>
      </c>
      <c r="I9" s="13">
        <f>7724/367</f>
        <v>21.04632152588556</v>
      </c>
      <c r="J9" s="13">
        <f>75906/2385</f>
        <v>31.826415094339623</v>
      </c>
    </row>
    <row r="10" spans="1:11" ht="15.95" customHeight="1" x14ac:dyDescent="0.25">
      <c r="A10" s="44" t="s">
        <v>18</v>
      </c>
      <c r="B10" s="47" t="s">
        <v>19</v>
      </c>
      <c r="C10" s="13">
        <f>49110/101300</f>
        <v>0.48479763079960514</v>
      </c>
      <c r="D10" s="13">
        <f>16331/1494</f>
        <v>10.931057563587684</v>
      </c>
      <c r="E10" s="13">
        <f>5380/168</f>
        <v>32.023809523809526</v>
      </c>
      <c r="F10" s="13">
        <f>27399/1048</f>
        <v>26.144083969465647</v>
      </c>
      <c r="G10" s="13">
        <f>101300/2710</f>
        <v>37.38007380073801</v>
      </c>
      <c r="H10" s="13">
        <f>71752/1494</f>
        <v>48.026773761713521</v>
      </c>
      <c r="I10" s="13">
        <f>3242/168</f>
        <v>19.297619047619047</v>
      </c>
      <c r="J10" s="13">
        <f>26306/1048</f>
        <v>25.101145038167939</v>
      </c>
    </row>
    <row r="11" spans="1:11" ht="15.95" customHeight="1" x14ac:dyDescent="0.25">
      <c r="A11" s="44" t="s">
        <v>20</v>
      </c>
      <c r="B11" s="47" t="s">
        <v>21</v>
      </c>
      <c r="C11" s="13">
        <f>3203/2833</f>
        <v>1.1306036004235793</v>
      </c>
      <c r="D11" s="13">
        <f>1010/78</f>
        <v>12.948717948717949</v>
      </c>
      <c r="E11" s="13">
        <f>2193/41</f>
        <v>53.487804878048777</v>
      </c>
      <c r="F11" s="13" t="s">
        <v>15</v>
      </c>
      <c r="G11" s="13">
        <f>2833/119</f>
        <v>23.806722689075631</v>
      </c>
      <c r="H11" s="13">
        <f>945/78</f>
        <v>12.115384615384615</v>
      </c>
      <c r="I11" s="13">
        <f>1888/41</f>
        <v>46.048780487804876</v>
      </c>
      <c r="J11" s="13" t="s">
        <v>15</v>
      </c>
    </row>
    <row r="12" spans="1:11" ht="15.95" customHeight="1" x14ac:dyDescent="0.25">
      <c r="A12" s="44" t="s">
        <v>22</v>
      </c>
      <c r="B12" s="47" t="s">
        <v>23</v>
      </c>
      <c r="C12" s="13">
        <f>23160/25856</f>
        <v>0.89573019801980203</v>
      </c>
      <c r="D12" s="13">
        <f>23160/1171</f>
        <v>19.77796754910333</v>
      </c>
      <c r="E12" s="13" t="s">
        <v>15</v>
      </c>
      <c r="F12" s="13" t="s">
        <v>15</v>
      </c>
      <c r="G12" s="13">
        <f>25856/1171</f>
        <v>22.080273270708798</v>
      </c>
      <c r="H12" s="13">
        <f>25856/1171</f>
        <v>22.080273270708798</v>
      </c>
      <c r="I12" s="13" t="s">
        <v>15</v>
      </c>
      <c r="J12" s="13" t="s">
        <v>15</v>
      </c>
    </row>
    <row r="13" spans="1:11" ht="15.95" customHeight="1" x14ac:dyDescent="0.25">
      <c r="A13" s="44" t="s">
        <v>24</v>
      </c>
      <c r="B13" s="47" t="s">
        <v>25</v>
      </c>
      <c r="C13" s="13">
        <f>25907/20670</f>
        <v>1.2533623609095308</v>
      </c>
      <c r="D13" s="13">
        <f>12320/561</f>
        <v>21.96078431372549</v>
      </c>
      <c r="E13" s="13">
        <f>73/15</f>
        <v>4.8666666666666663</v>
      </c>
      <c r="F13" s="13">
        <f>13514/573</f>
        <v>23.584642233856894</v>
      </c>
      <c r="G13" s="13">
        <f>20670/1149</f>
        <v>17.989556135770236</v>
      </c>
      <c r="H13" s="13">
        <f>9596/561</f>
        <v>17.105169340463458</v>
      </c>
      <c r="I13" s="13">
        <f>27/15</f>
        <v>1.8</v>
      </c>
      <c r="J13" s="13">
        <f>11047/573</f>
        <v>19.279232111692846</v>
      </c>
    </row>
    <row r="14" spans="1:11" ht="15.95" customHeight="1" x14ac:dyDescent="0.25">
      <c r="A14" s="44" t="s">
        <v>26</v>
      </c>
      <c r="B14" s="47" t="s">
        <v>27</v>
      </c>
      <c r="C14" s="13">
        <f>67273/85371</f>
        <v>0.78800763725386846</v>
      </c>
      <c r="D14" s="13">
        <f>19207/1126</f>
        <v>17.057726465364119</v>
      </c>
      <c r="E14" s="13" t="s">
        <v>15</v>
      </c>
      <c r="F14" s="13">
        <f>48066/1788</f>
        <v>26.882550335570471</v>
      </c>
      <c r="G14" s="13">
        <f>85371/2914</f>
        <v>29.296842827728209</v>
      </c>
      <c r="H14" s="13">
        <f>17713/1126</f>
        <v>15.730905861456483</v>
      </c>
      <c r="I14" s="13" t="s">
        <v>15</v>
      </c>
      <c r="J14" s="13">
        <f>67658/1788</f>
        <v>37.840044742729305</v>
      </c>
    </row>
    <row r="15" spans="1:11" ht="15.95" customHeight="1" x14ac:dyDescent="0.25">
      <c r="A15" s="170" t="s">
        <v>34</v>
      </c>
      <c r="B15" s="170"/>
      <c r="C15" s="23">
        <f t="shared" ref="C15:J15" si="0">SUM(C8:C14)</f>
        <v>7.2690516725209253</v>
      </c>
      <c r="D15" s="84">
        <f t="shared" si="0"/>
        <v>138.5887015349424</v>
      </c>
      <c r="E15" s="23">
        <f t="shared" si="0"/>
        <v>122.05985430281196</v>
      </c>
      <c r="F15" s="23">
        <f t="shared" si="0"/>
        <v>107.89136039633536</v>
      </c>
      <c r="G15" s="23">
        <f t="shared" si="0"/>
        <v>171.4455506896812</v>
      </c>
      <c r="H15" s="23">
        <f t="shared" si="0"/>
        <v>141.12485939312904</v>
      </c>
      <c r="I15" s="23">
        <f t="shared" si="0"/>
        <v>102.45341597996784</v>
      </c>
      <c r="J15" s="23">
        <f t="shared" si="0"/>
        <v>114.04683698692972</v>
      </c>
    </row>
    <row r="16" spans="1:11" ht="15.95" customHeight="1" x14ac:dyDescent="0.25">
      <c r="A16" s="112" t="s">
        <v>36</v>
      </c>
      <c r="B16" s="113"/>
      <c r="C16" s="23">
        <f>C15/7</f>
        <v>1.0384359532172751</v>
      </c>
      <c r="D16" s="84">
        <f>D15/7</f>
        <v>19.7983859335632</v>
      </c>
      <c r="E16" s="23">
        <f>E15/5</f>
        <v>24.411970860562391</v>
      </c>
      <c r="F16" s="23">
        <f>F15/4</f>
        <v>26.97284009908384</v>
      </c>
      <c r="G16" s="23">
        <f>G15/7</f>
        <v>24.492221527097314</v>
      </c>
      <c r="H16" s="23">
        <f>H15/7</f>
        <v>20.160694199018433</v>
      </c>
      <c r="I16" s="23">
        <f>I15/5</f>
        <v>20.490683195993569</v>
      </c>
      <c r="J16" s="23">
        <f>J15/4</f>
        <v>28.51170924673243</v>
      </c>
    </row>
    <row r="17" spans="1:10" ht="15.95" customHeight="1" x14ac:dyDescent="0.25">
      <c r="A17" s="169" t="s">
        <v>28</v>
      </c>
      <c r="B17" s="169"/>
      <c r="C17" s="169"/>
      <c r="D17" s="169"/>
      <c r="E17" s="169"/>
      <c r="F17" s="169"/>
      <c r="G17" s="169"/>
      <c r="H17" s="169"/>
      <c r="I17" s="169"/>
      <c r="J17" s="169"/>
    </row>
    <row r="18" spans="1:10" ht="15.95" customHeight="1" x14ac:dyDescent="0.25">
      <c r="A18" s="44" t="s">
        <v>12</v>
      </c>
      <c r="B18" s="47" t="s">
        <v>29</v>
      </c>
      <c r="C18" s="13">
        <f>35296/47643</f>
        <v>0.74084335579203664</v>
      </c>
      <c r="D18" s="13">
        <f>8848/396</f>
        <v>22.343434343434343</v>
      </c>
      <c r="E18" s="13">
        <f>1216/88</f>
        <v>13.818181818181818</v>
      </c>
      <c r="F18" s="13">
        <f>25232/944</f>
        <v>26.728813559322035</v>
      </c>
      <c r="G18" s="13">
        <f>47643/1428</f>
        <v>33.363445378151262</v>
      </c>
      <c r="H18" s="13">
        <f>14662/396</f>
        <v>37.025252525252526</v>
      </c>
      <c r="I18" s="13">
        <f>2965/88</f>
        <v>33.69318181818182</v>
      </c>
      <c r="J18" s="13">
        <f>30016/944</f>
        <v>31.796610169491526</v>
      </c>
    </row>
    <row r="19" spans="1:10" ht="15.95" customHeight="1" x14ac:dyDescent="0.25">
      <c r="A19" s="44" t="s">
        <v>16</v>
      </c>
      <c r="B19" s="47" t="s">
        <v>30</v>
      </c>
      <c r="C19" s="13">
        <f>10217/22461</f>
        <v>0.45487734295000221</v>
      </c>
      <c r="D19" s="13">
        <f>2188/204</f>
        <v>10.725490196078431</v>
      </c>
      <c r="E19" s="13" t="s">
        <v>15</v>
      </c>
      <c r="F19" s="13">
        <f>8029/361</f>
        <v>22.240997229916896</v>
      </c>
      <c r="G19" s="13">
        <f>22461/565</f>
        <v>39.753982300884957</v>
      </c>
      <c r="H19" s="13">
        <f>13228/204</f>
        <v>64.843137254901961</v>
      </c>
      <c r="I19" s="13" t="s">
        <v>15</v>
      </c>
      <c r="J19" s="13">
        <f>9233/361</f>
        <v>25.576177285318561</v>
      </c>
    </row>
    <row r="20" spans="1:10" ht="15.95" customHeight="1" x14ac:dyDescent="0.25">
      <c r="A20" s="44" t="s">
        <v>18</v>
      </c>
      <c r="B20" s="47" t="s">
        <v>31</v>
      </c>
      <c r="C20" s="13">
        <f>46768/39809</f>
        <v>1.1748097163957898</v>
      </c>
      <c r="D20" s="13">
        <f>15309/729</f>
        <v>21</v>
      </c>
      <c r="E20" s="13" t="s">
        <v>15</v>
      </c>
      <c r="F20" s="13">
        <f>31459/1256</f>
        <v>25.046974522292995</v>
      </c>
      <c r="G20" s="13">
        <f>39809/1985</f>
        <v>20.054911838790932</v>
      </c>
      <c r="H20" s="13">
        <f>12638/729</f>
        <v>17.3360768175583</v>
      </c>
      <c r="I20" s="13" t="s">
        <v>15</v>
      </c>
      <c r="J20" s="13">
        <f>27171/1256</f>
        <v>21.632961783439491</v>
      </c>
    </row>
    <row r="21" spans="1:10" ht="15.95" customHeight="1" x14ac:dyDescent="0.25">
      <c r="A21" s="44" t="s">
        <v>20</v>
      </c>
      <c r="B21" s="47" t="s">
        <v>32</v>
      </c>
      <c r="C21" s="13">
        <f>44843/54656</f>
        <v>0.82045887002341922</v>
      </c>
      <c r="D21" s="13">
        <f>11478/1273</f>
        <v>9.0164964650432058</v>
      </c>
      <c r="E21" s="13">
        <f>4977/330</f>
        <v>15.081818181818182</v>
      </c>
      <c r="F21" s="13">
        <f>28388/1222</f>
        <v>23.23076923076923</v>
      </c>
      <c r="G21" s="13">
        <f>54646/2825</f>
        <v>19.343716814159293</v>
      </c>
      <c r="H21" s="13">
        <f>13679/1273</f>
        <v>10.745483110761979</v>
      </c>
      <c r="I21" s="13">
        <f>6377/330</f>
        <v>19.324242424242424</v>
      </c>
      <c r="J21" s="13">
        <f>34590/1222</f>
        <v>28.306055646481177</v>
      </c>
    </row>
    <row r="22" spans="1:10" ht="15.95" customHeight="1" x14ac:dyDescent="0.25">
      <c r="A22" s="170" t="s">
        <v>34</v>
      </c>
      <c r="B22" s="170"/>
      <c r="C22" s="23">
        <f t="shared" ref="C22:J22" si="1">SUM(C18:C21)</f>
        <v>3.1909892851612476</v>
      </c>
      <c r="D22" s="23">
        <f t="shared" si="1"/>
        <v>63.085421004555975</v>
      </c>
      <c r="E22" s="23">
        <f t="shared" si="1"/>
        <v>28.9</v>
      </c>
      <c r="F22" s="23">
        <f t="shared" si="1"/>
        <v>97.24755454230116</v>
      </c>
      <c r="G22" s="23">
        <f t="shared" si="1"/>
        <v>112.51605633198643</v>
      </c>
      <c r="H22" s="23">
        <f t="shared" si="1"/>
        <v>129.94994970847475</v>
      </c>
      <c r="I22" s="23">
        <f t="shared" si="1"/>
        <v>53.017424242424241</v>
      </c>
      <c r="J22" s="23">
        <f t="shared" si="1"/>
        <v>107.31180488473075</v>
      </c>
    </row>
    <row r="23" spans="1:10" ht="15.95" customHeight="1" x14ac:dyDescent="0.25">
      <c r="A23" s="112" t="s">
        <v>36</v>
      </c>
      <c r="B23" s="113"/>
      <c r="C23" s="23">
        <f>C22/4</f>
        <v>0.79774732129031189</v>
      </c>
      <c r="D23" s="23">
        <f>D22/4</f>
        <v>15.771355251138994</v>
      </c>
      <c r="E23" s="23">
        <f>E22/2</f>
        <v>14.45</v>
      </c>
      <c r="F23" s="23">
        <f>F22/4</f>
        <v>24.31188863557529</v>
      </c>
      <c r="G23" s="23">
        <f>G22/4</f>
        <v>28.129014082996608</v>
      </c>
      <c r="H23" s="23">
        <f>H22/4</f>
        <v>32.487487427118687</v>
      </c>
      <c r="I23" s="23">
        <f>I22/2</f>
        <v>26.50871212121212</v>
      </c>
      <c r="J23" s="23">
        <f>J22/4</f>
        <v>26.827951221182687</v>
      </c>
    </row>
    <row r="24" spans="1:10" ht="30" customHeight="1" x14ac:dyDescent="0.25">
      <c r="A24" s="171" t="s">
        <v>33</v>
      </c>
      <c r="B24" s="171"/>
      <c r="C24" s="27">
        <f t="shared" ref="C24:J24" si="2">SUM(C15,C22)</f>
        <v>10.460040957682173</v>
      </c>
      <c r="D24" s="27">
        <f t="shared" si="2"/>
        <v>201.67412253949837</v>
      </c>
      <c r="E24" s="27">
        <f t="shared" si="2"/>
        <v>150.95985430281195</v>
      </c>
      <c r="F24" s="27">
        <f t="shared" si="2"/>
        <v>205.1389149386365</v>
      </c>
      <c r="G24" s="88">
        <f t="shared" si="2"/>
        <v>283.96160702166765</v>
      </c>
      <c r="H24" s="88">
        <f t="shared" si="2"/>
        <v>271.07480910160382</v>
      </c>
      <c r="I24" s="88">
        <f t="shared" si="2"/>
        <v>155.4708402223921</v>
      </c>
      <c r="J24" s="88">
        <f t="shared" si="2"/>
        <v>221.35864187166047</v>
      </c>
    </row>
    <row r="25" spans="1:10" ht="33.75" customHeight="1" x14ac:dyDescent="0.25">
      <c r="A25" s="171" t="s">
        <v>35</v>
      </c>
      <c r="B25" s="171"/>
      <c r="C25" s="27">
        <f>C24/11</f>
        <v>0.95091281433474295</v>
      </c>
      <c r="D25" s="27">
        <f>D24/11</f>
        <v>18.334011139954399</v>
      </c>
      <c r="E25" s="27">
        <f>E24/7</f>
        <v>21.565693471830279</v>
      </c>
      <c r="F25" s="27">
        <f>F24/8</f>
        <v>25.642364367329563</v>
      </c>
      <c r="G25" s="27">
        <f>G24/11</f>
        <v>25.814691547424331</v>
      </c>
      <c r="H25" s="27">
        <f>H24/11</f>
        <v>24.643164463782167</v>
      </c>
      <c r="I25" s="88">
        <f>I24/7</f>
        <v>22.210120031770298</v>
      </c>
      <c r="J25" s="88">
        <f>J24/8</f>
        <v>27.669830233957558</v>
      </c>
    </row>
  </sheetData>
  <mergeCells count="13">
    <mergeCell ref="A5:A6"/>
    <mergeCell ref="B5:B6"/>
    <mergeCell ref="C5:F5"/>
    <mergeCell ref="G5:J5"/>
    <mergeCell ref="A2:J2"/>
    <mergeCell ref="A3:J3"/>
    <mergeCell ref="A15:B15"/>
    <mergeCell ref="A17:J17"/>
    <mergeCell ref="A22:B22"/>
    <mergeCell ref="A24:B24"/>
    <mergeCell ref="A25:B25"/>
    <mergeCell ref="A16:B16"/>
    <mergeCell ref="A23:B23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E23 I23" formula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AB26"/>
  <sheetViews>
    <sheetView topLeftCell="A7" workbookViewId="0">
      <selection activeCell="V26" sqref="V26"/>
    </sheetView>
  </sheetViews>
  <sheetFormatPr defaultRowHeight="15" x14ac:dyDescent="0.25"/>
  <cols>
    <col min="1" max="1" width="4.42578125" customWidth="1"/>
    <col min="2" max="2" width="28.28515625" customWidth="1"/>
    <col min="3" max="3" width="11" customWidth="1"/>
    <col min="4" max="4" width="11.7109375" customWidth="1"/>
    <col min="5" max="5" width="7.7109375" customWidth="1"/>
    <col min="6" max="6" width="9.140625" customWidth="1"/>
    <col min="7" max="7" width="10.85546875" customWidth="1"/>
    <col min="8" max="8" width="11" customWidth="1"/>
    <col min="9" max="9" width="11.7109375" customWidth="1"/>
    <col min="10" max="10" width="7.5703125" customWidth="1"/>
    <col min="11" max="11" width="9.140625" customWidth="1"/>
    <col min="12" max="12" width="10.85546875" customWidth="1"/>
    <col min="13" max="13" width="11.140625" customWidth="1"/>
    <col min="14" max="14" width="12" customWidth="1"/>
    <col min="15" max="15" width="8" customWidth="1"/>
    <col min="16" max="16" width="9.140625" customWidth="1"/>
    <col min="17" max="17" width="10.85546875" customWidth="1"/>
    <col min="18" max="18" width="11.140625" customWidth="1"/>
    <col min="19" max="19" width="11.7109375" customWidth="1"/>
    <col min="20" max="20" width="7.7109375" customWidth="1"/>
    <col min="21" max="21" width="9.140625" customWidth="1"/>
    <col min="22" max="22" width="11" customWidth="1"/>
  </cols>
  <sheetData>
    <row r="2" spans="1:28" ht="15" customHeight="1" x14ac:dyDescent="0.25">
      <c r="A2" s="162" t="s">
        <v>90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94"/>
      <c r="X2" s="94"/>
      <c r="Y2" s="94"/>
      <c r="Z2" s="94"/>
      <c r="AA2" s="94"/>
      <c r="AB2" s="94"/>
    </row>
    <row r="3" spans="1:28" ht="15.75" customHeight="1" x14ac:dyDescent="0.25">
      <c r="A3" s="162" t="s">
        <v>80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94"/>
      <c r="X3" s="94"/>
      <c r="Y3" s="94"/>
      <c r="Z3" s="94"/>
      <c r="AA3" s="94"/>
      <c r="AB3" s="94"/>
    </row>
    <row r="5" spans="1:28" ht="15.75" customHeight="1" x14ac:dyDescent="0.25">
      <c r="A5" s="115" t="s">
        <v>3</v>
      </c>
      <c r="B5" s="115" t="s">
        <v>4</v>
      </c>
      <c r="C5" s="173" t="s">
        <v>61</v>
      </c>
      <c r="D5" s="173"/>
      <c r="E5" s="173"/>
      <c r="F5" s="173"/>
      <c r="G5" s="177" t="s">
        <v>96</v>
      </c>
      <c r="H5" s="174" t="s">
        <v>7</v>
      </c>
      <c r="I5" s="175"/>
      <c r="J5" s="175"/>
      <c r="K5" s="176"/>
      <c r="L5" s="177" t="s">
        <v>96</v>
      </c>
      <c r="M5" s="173" t="s">
        <v>57</v>
      </c>
      <c r="N5" s="173"/>
      <c r="O5" s="173"/>
      <c r="P5" s="173"/>
      <c r="Q5" s="177" t="s">
        <v>96</v>
      </c>
      <c r="R5" s="173" t="s">
        <v>58</v>
      </c>
      <c r="S5" s="173"/>
      <c r="T5" s="173"/>
      <c r="U5" s="173"/>
      <c r="V5" s="177" t="s">
        <v>96</v>
      </c>
    </row>
    <row r="6" spans="1:28" ht="15" customHeight="1" x14ac:dyDescent="0.25">
      <c r="A6" s="115"/>
      <c r="B6" s="115"/>
      <c r="C6" s="115" t="s">
        <v>93</v>
      </c>
      <c r="D6" s="141" t="s">
        <v>92</v>
      </c>
      <c r="E6" s="115" t="s">
        <v>91</v>
      </c>
      <c r="F6" s="115"/>
      <c r="G6" s="178"/>
      <c r="H6" s="115" t="s">
        <v>93</v>
      </c>
      <c r="I6" s="141" t="s">
        <v>92</v>
      </c>
      <c r="J6" s="115" t="s">
        <v>91</v>
      </c>
      <c r="K6" s="115"/>
      <c r="L6" s="178"/>
      <c r="M6" s="115" t="s">
        <v>93</v>
      </c>
      <c r="N6" s="141" t="s">
        <v>92</v>
      </c>
      <c r="O6" s="115" t="s">
        <v>91</v>
      </c>
      <c r="P6" s="115"/>
      <c r="Q6" s="178"/>
      <c r="R6" s="115" t="s">
        <v>93</v>
      </c>
      <c r="S6" s="141" t="s">
        <v>92</v>
      </c>
      <c r="T6" s="115" t="s">
        <v>91</v>
      </c>
      <c r="U6" s="115"/>
      <c r="V6" s="178"/>
    </row>
    <row r="7" spans="1:28" ht="45" customHeight="1" x14ac:dyDescent="0.25">
      <c r="A7" s="115"/>
      <c r="B7" s="115"/>
      <c r="C7" s="115"/>
      <c r="D7" s="142"/>
      <c r="E7" s="92" t="s">
        <v>94</v>
      </c>
      <c r="F7" s="92" t="s">
        <v>95</v>
      </c>
      <c r="G7" s="179"/>
      <c r="H7" s="115"/>
      <c r="I7" s="142"/>
      <c r="J7" s="92" t="s">
        <v>94</v>
      </c>
      <c r="K7" s="92" t="s">
        <v>95</v>
      </c>
      <c r="L7" s="179"/>
      <c r="M7" s="115"/>
      <c r="N7" s="142"/>
      <c r="O7" s="92" t="s">
        <v>94</v>
      </c>
      <c r="P7" s="92" t="s">
        <v>95</v>
      </c>
      <c r="Q7" s="179"/>
      <c r="R7" s="115"/>
      <c r="S7" s="142"/>
      <c r="T7" s="92" t="s">
        <v>94</v>
      </c>
      <c r="U7" s="92" t="s">
        <v>95</v>
      </c>
      <c r="V7" s="179"/>
    </row>
    <row r="8" spans="1:28" ht="15.95" customHeight="1" x14ac:dyDescent="0.25">
      <c r="A8" s="152" t="s">
        <v>11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4"/>
      <c r="V8" s="93"/>
    </row>
    <row r="9" spans="1:28" ht="15.95" customHeight="1" x14ac:dyDescent="0.25">
      <c r="A9" s="44" t="s">
        <v>12</v>
      </c>
      <c r="B9" s="47" t="s">
        <v>13</v>
      </c>
      <c r="C9" s="12">
        <v>350</v>
      </c>
      <c r="D9" s="12">
        <v>111</v>
      </c>
      <c r="E9" s="12">
        <v>111</v>
      </c>
      <c r="F9" s="12">
        <v>111</v>
      </c>
      <c r="G9" s="12">
        <f>D9-109</f>
        <v>2</v>
      </c>
      <c r="H9" s="12">
        <v>129</v>
      </c>
      <c r="I9" s="12">
        <v>42</v>
      </c>
      <c r="J9" s="12">
        <v>42</v>
      </c>
      <c r="K9" s="12">
        <v>42</v>
      </c>
      <c r="L9" s="12">
        <f>I9-41</f>
        <v>1</v>
      </c>
      <c r="M9" s="12">
        <f>215+6</f>
        <v>221</v>
      </c>
      <c r="N9" s="12">
        <f>65+4</f>
        <v>69</v>
      </c>
      <c r="O9" s="12">
        <f>65+4</f>
        <v>69</v>
      </c>
      <c r="P9" s="58">
        <f>65+4</f>
        <v>69</v>
      </c>
      <c r="Q9" s="58">
        <f>N9-64</f>
        <v>5</v>
      </c>
      <c r="R9" s="58" t="s">
        <v>15</v>
      </c>
      <c r="S9" s="58" t="s">
        <v>15</v>
      </c>
      <c r="T9" s="58" t="s">
        <v>15</v>
      </c>
      <c r="U9" s="58" t="s">
        <v>15</v>
      </c>
      <c r="V9" s="58" t="s">
        <v>15</v>
      </c>
    </row>
    <row r="10" spans="1:28" ht="15.95" customHeight="1" x14ac:dyDescent="0.25">
      <c r="A10" s="44" t="s">
        <v>16</v>
      </c>
      <c r="B10" s="47" t="s">
        <v>17</v>
      </c>
      <c r="C10" s="12">
        <v>394</v>
      </c>
      <c r="D10" s="12">
        <v>119</v>
      </c>
      <c r="E10" s="12">
        <v>116</v>
      </c>
      <c r="F10" s="12">
        <v>116</v>
      </c>
      <c r="G10" s="12">
        <f>D10-110</f>
        <v>9</v>
      </c>
      <c r="H10" s="12">
        <v>92</v>
      </c>
      <c r="I10" s="12">
        <v>28</v>
      </c>
      <c r="J10" s="12">
        <v>28</v>
      </c>
      <c r="K10" s="12">
        <v>28</v>
      </c>
      <c r="L10" s="12">
        <f>I10-26</f>
        <v>2</v>
      </c>
      <c r="M10" s="12">
        <v>20</v>
      </c>
      <c r="N10" s="12">
        <v>6</v>
      </c>
      <c r="O10" s="12">
        <v>6</v>
      </c>
      <c r="P10" s="58">
        <v>6</v>
      </c>
      <c r="Q10" s="58">
        <f>N10-5</f>
        <v>1</v>
      </c>
      <c r="R10" s="58">
        <v>282</v>
      </c>
      <c r="S10" s="58">
        <v>85</v>
      </c>
      <c r="T10" s="58">
        <v>82</v>
      </c>
      <c r="U10" s="58">
        <v>82</v>
      </c>
      <c r="V10" s="58">
        <f>S10-79</f>
        <v>6</v>
      </c>
    </row>
    <row r="11" spans="1:28" ht="15.95" customHeight="1" x14ac:dyDescent="0.25">
      <c r="A11" s="44" t="s">
        <v>18</v>
      </c>
      <c r="B11" s="47" t="s">
        <v>19</v>
      </c>
      <c r="C11" s="12">
        <v>392</v>
      </c>
      <c r="D11" s="12">
        <v>93</v>
      </c>
      <c r="E11" s="12">
        <v>89</v>
      </c>
      <c r="F11" s="12">
        <v>93</v>
      </c>
      <c r="G11" s="12">
        <f>D11-93</f>
        <v>0</v>
      </c>
      <c r="H11" s="12">
        <v>136</v>
      </c>
      <c r="I11" s="12">
        <v>22</v>
      </c>
      <c r="J11" s="12">
        <v>18</v>
      </c>
      <c r="K11" s="12">
        <v>22</v>
      </c>
      <c r="L11" s="12">
        <f>I11-22</f>
        <v>0</v>
      </c>
      <c r="M11" s="12">
        <v>28</v>
      </c>
      <c r="N11" s="12">
        <v>6</v>
      </c>
      <c r="O11" s="12">
        <v>6</v>
      </c>
      <c r="P11" s="58">
        <v>6</v>
      </c>
      <c r="Q11" s="58">
        <v>6</v>
      </c>
      <c r="R11" s="58">
        <v>228</v>
      </c>
      <c r="S11" s="58">
        <v>65</v>
      </c>
      <c r="T11" s="58">
        <v>65</v>
      </c>
      <c r="U11" s="58">
        <v>65</v>
      </c>
      <c r="V11" s="58">
        <f>S11-65</f>
        <v>0</v>
      </c>
    </row>
    <row r="12" spans="1:28" ht="15.95" customHeight="1" x14ac:dyDescent="0.25">
      <c r="A12" s="44" t="s">
        <v>20</v>
      </c>
      <c r="B12" s="47" t="s">
        <v>21</v>
      </c>
      <c r="C12" s="12">
        <v>27</v>
      </c>
      <c r="D12" s="12">
        <v>9</v>
      </c>
      <c r="E12" s="12">
        <v>9</v>
      </c>
      <c r="F12" s="12">
        <v>9</v>
      </c>
      <c r="G12" s="12">
        <f>D12-18</f>
        <v>-9</v>
      </c>
      <c r="H12" s="12">
        <v>15</v>
      </c>
      <c r="I12" s="12">
        <v>5</v>
      </c>
      <c r="J12" s="12">
        <v>5</v>
      </c>
      <c r="K12" s="12">
        <v>5</v>
      </c>
      <c r="L12" s="12">
        <f>I12-10</f>
        <v>-5</v>
      </c>
      <c r="M12" s="12">
        <v>12</v>
      </c>
      <c r="N12" s="12">
        <v>4</v>
      </c>
      <c r="O12" s="12">
        <v>4</v>
      </c>
      <c r="P12" s="58">
        <v>4</v>
      </c>
      <c r="Q12" s="58">
        <f>N12-8</f>
        <v>-4</v>
      </c>
      <c r="R12" s="58" t="s">
        <v>15</v>
      </c>
      <c r="S12" s="58" t="s">
        <v>15</v>
      </c>
      <c r="T12" s="58" t="s">
        <v>15</v>
      </c>
      <c r="U12" s="58" t="s">
        <v>15</v>
      </c>
      <c r="V12" s="58" t="s">
        <v>15</v>
      </c>
    </row>
    <row r="13" spans="1:28" ht="15.95" customHeight="1" x14ac:dyDescent="0.25">
      <c r="A13" s="44" t="s">
        <v>22</v>
      </c>
      <c r="B13" s="47" t="s">
        <v>23</v>
      </c>
      <c r="C13" s="12">
        <v>127</v>
      </c>
      <c r="D13" s="12">
        <v>30</v>
      </c>
      <c r="E13" s="12">
        <v>30</v>
      </c>
      <c r="F13" s="12">
        <v>30</v>
      </c>
      <c r="G13" s="12">
        <f>D13-23</f>
        <v>7</v>
      </c>
      <c r="H13" s="12">
        <v>127</v>
      </c>
      <c r="I13" s="12">
        <v>30</v>
      </c>
      <c r="J13" s="12">
        <v>30</v>
      </c>
      <c r="K13" s="12">
        <v>30</v>
      </c>
      <c r="L13" s="12">
        <f>I13-23</f>
        <v>7</v>
      </c>
      <c r="M13" s="12" t="s">
        <v>15</v>
      </c>
      <c r="N13" s="12" t="s">
        <v>15</v>
      </c>
      <c r="O13" s="12" t="s">
        <v>15</v>
      </c>
      <c r="P13" s="58" t="s">
        <v>15</v>
      </c>
      <c r="Q13" s="58" t="s">
        <v>15</v>
      </c>
      <c r="R13" s="58" t="s">
        <v>15</v>
      </c>
      <c r="S13" s="58" t="s">
        <v>15</v>
      </c>
      <c r="T13" s="58" t="s">
        <v>15</v>
      </c>
      <c r="U13" s="58" t="s">
        <v>15</v>
      </c>
      <c r="V13" s="58" t="s">
        <v>15</v>
      </c>
    </row>
    <row r="14" spans="1:28" ht="15.95" customHeight="1" x14ac:dyDescent="0.25">
      <c r="A14" s="44" t="s">
        <v>24</v>
      </c>
      <c r="B14" s="47" t="s">
        <v>25</v>
      </c>
      <c r="C14" s="12">
        <v>274</v>
      </c>
      <c r="D14" s="12">
        <v>112</v>
      </c>
      <c r="E14" s="12">
        <v>112</v>
      </c>
      <c r="F14" s="12">
        <v>112</v>
      </c>
      <c r="G14" s="12">
        <f>D14-112</f>
        <v>0</v>
      </c>
      <c r="H14" s="12">
        <v>86</v>
      </c>
      <c r="I14" s="12">
        <v>15</v>
      </c>
      <c r="J14" s="12">
        <v>15</v>
      </c>
      <c r="K14" s="12">
        <v>15</v>
      </c>
      <c r="L14" s="12">
        <f>I14-16</f>
        <v>-1</v>
      </c>
      <c r="M14" s="12">
        <v>16</v>
      </c>
      <c r="N14" s="12">
        <v>4</v>
      </c>
      <c r="O14" s="12">
        <v>4</v>
      </c>
      <c r="P14" s="58">
        <v>4</v>
      </c>
      <c r="Q14" s="58">
        <f>N14-4</f>
        <v>0</v>
      </c>
      <c r="R14" s="58">
        <v>172</v>
      </c>
      <c r="S14" s="58">
        <v>93</v>
      </c>
      <c r="T14" s="58">
        <v>93</v>
      </c>
      <c r="U14" s="58">
        <v>93</v>
      </c>
      <c r="V14" s="58">
        <f>S14-92</f>
        <v>1</v>
      </c>
    </row>
    <row r="15" spans="1:28" ht="15.95" customHeight="1" x14ac:dyDescent="0.25">
      <c r="A15" s="44" t="s">
        <v>26</v>
      </c>
      <c r="B15" s="47" t="s">
        <v>27</v>
      </c>
      <c r="C15" s="12">
        <v>450</v>
      </c>
      <c r="D15" s="12">
        <v>128</v>
      </c>
      <c r="E15" s="12">
        <v>128</v>
      </c>
      <c r="F15" s="12">
        <v>128</v>
      </c>
      <c r="G15" s="12">
        <f>D15-130</f>
        <v>-2</v>
      </c>
      <c r="H15" s="12">
        <v>102</v>
      </c>
      <c r="I15" s="12">
        <v>36</v>
      </c>
      <c r="J15" s="12">
        <v>36</v>
      </c>
      <c r="K15" s="12">
        <v>36</v>
      </c>
      <c r="L15" s="12">
        <f>I15-35</f>
        <v>1</v>
      </c>
      <c r="M15" s="12" t="s">
        <v>15</v>
      </c>
      <c r="N15" s="12" t="s">
        <v>15</v>
      </c>
      <c r="O15" s="12" t="s">
        <v>15</v>
      </c>
      <c r="P15" s="58" t="s">
        <v>15</v>
      </c>
      <c r="Q15" s="58" t="s">
        <v>15</v>
      </c>
      <c r="R15" s="58">
        <v>384</v>
      </c>
      <c r="S15" s="58">
        <v>92</v>
      </c>
      <c r="T15" s="58">
        <v>92</v>
      </c>
      <c r="U15" s="58">
        <v>92</v>
      </c>
      <c r="V15" s="58">
        <f>S15-95</f>
        <v>-3</v>
      </c>
    </row>
    <row r="16" spans="1:28" ht="15.95" customHeight="1" x14ac:dyDescent="0.25">
      <c r="A16" s="170" t="s">
        <v>34</v>
      </c>
      <c r="B16" s="170"/>
      <c r="C16" s="22">
        <f t="shared" ref="C16:V16" si="0">SUM(C9:C15)</f>
        <v>2014</v>
      </c>
      <c r="D16" s="22">
        <f t="shared" si="0"/>
        <v>602</v>
      </c>
      <c r="E16" s="59">
        <f t="shared" si="0"/>
        <v>595</v>
      </c>
      <c r="F16" s="59">
        <f t="shared" si="0"/>
        <v>599</v>
      </c>
      <c r="G16" s="22">
        <f t="shared" si="0"/>
        <v>7</v>
      </c>
      <c r="H16" s="22">
        <f t="shared" si="0"/>
        <v>687</v>
      </c>
      <c r="I16" s="22">
        <f t="shared" si="0"/>
        <v>178</v>
      </c>
      <c r="J16" s="22">
        <f t="shared" si="0"/>
        <v>174</v>
      </c>
      <c r="K16" s="22">
        <f t="shared" si="0"/>
        <v>178</v>
      </c>
      <c r="L16" s="22">
        <f t="shared" si="0"/>
        <v>5</v>
      </c>
      <c r="M16" s="22">
        <f t="shared" si="0"/>
        <v>297</v>
      </c>
      <c r="N16" s="22">
        <f t="shared" si="0"/>
        <v>89</v>
      </c>
      <c r="O16" s="22">
        <f t="shared" si="0"/>
        <v>89</v>
      </c>
      <c r="P16" s="22">
        <f t="shared" si="0"/>
        <v>89</v>
      </c>
      <c r="Q16" s="22">
        <f t="shared" si="0"/>
        <v>8</v>
      </c>
      <c r="R16" s="22">
        <f t="shared" si="0"/>
        <v>1066</v>
      </c>
      <c r="S16" s="22">
        <f t="shared" si="0"/>
        <v>335</v>
      </c>
      <c r="T16" s="22">
        <f t="shared" si="0"/>
        <v>332</v>
      </c>
      <c r="U16" s="22">
        <f t="shared" si="0"/>
        <v>332</v>
      </c>
      <c r="V16" s="22">
        <f t="shared" si="0"/>
        <v>4</v>
      </c>
    </row>
    <row r="17" spans="1:22" ht="15.95" customHeight="1" x14ac:dyDescent="0.25">
      <c r="A17" s="170" t="s">
        <v>36</v>
      </c>
      <c r="B17" s="170"/>
      <c r="C17" s="22">
        <f t="shared" ref="C17:L17" si="1">C16/7</f>
        <v>287.71428571428572</v>
      </c>
      <c r="D17" s="22">
        <f t="shared" si="1"/>
        <v>86</v>
      </c>
      <c r="E17" s="59">
        <f t="shared" si="1"/>
        <v>85</v>
      </c>
      <c r="F17" s="59">
        <f t="shared" si="1"/>
        <v>85.571428571428569</v>
      </c>
      <c r="G17" s="22">
        <f t="shared" si="1"/>
        <v>1</v>
      </c>
      <c r="H17" s="22">
        <f t="shared" si="1"/>
        <v>98.142857142857139</v>
      </c>
      <c r="I17" s="22">
        <f t="shared" si="1"/>
        <v>25.428571428571427</v>
      </c>
      <c r="J17" s="22">
        <f t="shared" si="1"/>
        <v>24.857142857142858</v>
      </c>
      <c r="K17" s="22">
        <f t="shared" si="1"/>
        <v>25.428571428571427</v>
      </c>
      <c r="L17" s="23">
        <f t="shared" si="1"/>
        <v>0.7142857142857143</v>
      </c>
      <c r="M17" s="22">
        <f>M16/5</f>
        <v>59.4</v>
      </c>
      <c r="N17" s="22">
        <f>N16/5</f>
        <v>17.8</v>
      </c>
      <c r="O17" s="22">
        <f>O16/5</f>
        <v>17.8</v>
      </c>
      <c r="P17" s="22">
        <f>P16/5</f>
        <v>17.8</v>
      </c>
      <c r="Q17" s="22">
        <f>Q16/5</f>
        <v>1.6</v>
      </c>
      <c r="R17" s="22">
        <f t="shared" ref="R17:V17" si="2">R16/4</f>
        <v>266.5</v>
      </c>
      <c r="S17" s="22">
        <f t="shared" si="2"/>
        <v>83.75</v>
      </c>
      <c r="T17" s="22">
        <f t="shared" si="2"/>
        <v>83</v>
      </c>
      <c r="U17" s="22">
        <f t="shared" si="2"/>
        <v>83</v>
      </c>
      <c r="V17" s="22">
        <f t="shared" si="2"/>
        <v>1</v>
      </c>
    </row>
    <row r="18" spans="1:22" ht="15.95" customHeight="1" x14ac:dyDescent="0.25">
      <c r="A18" s="152" t="s">
        <v>28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4"/>
      <c r="V18" s="93"/>
    </row>
    <row r="19" spans="1:22" ht="15.95" customHeight="1" x14ac:dyDescent="0.25">
      <c r="A19" s="44" t="s">
        <v>12</v>
      </c>
      <c r="B19" s="47" t="s">
        <v>29</v>
      </c>
      <c r="C19" s="12">
        <v>275</v>
      </c>
      <c r="D19" s="12">
        <v>121</v>
      </c>
      <c r="E19" s="12">
        <v>41</v>
      </c>
      <c r="F19" s="12">
        <v>87</v>
      </c>
      <c r="G19" s="12">
        <f>D19-99</f>
        <v>22</v>
      </c>
      <c r="H19" s="12">
        <v>76</v>
      </c>
      <c r="I19" s="12">
        <v>41</v>
      </c>
      <c r="J19" s="12">
        <v>41</v>
      </c>
      <c r="K19" s="12">
        <v>41</v>
      </c>
      <c r="L19" s="12">
        <f>I19-41</f>
        <v>0</v>
      </c>
      <c r="M19" s="12">
        <v>9</v>
      </c>
      <c r="N19" s="12">
        <v>2</v>
      </c>
      <c r="O19" s="12">
        <v>0</v>
      </c>
      <c r="P19" s="58">
        <v>2</v>
      </c>
      <c r="Q19" s="58">
        <f>N19-2</f>
        <v>0</v>
      </c>
      <c r="R19" s="58">
        <v>190</v>
      </c>
      <c r="S19" s="58">
        <v>78</v>
      </c>
      <c r="T19" s="58">
        <v>0</v>
      </c>
      <c r="U19" s="58">
        <v>44</v>
      </c>
      <c r="V19" s="58">
        <f>S19-56</f>
        <v>22</v>
      </c>
    </row>
    <row r="20" spans="1:22" ht="15.95" customHeight="1" x14ac:dyDescent="0.25">
      <c r="A20" s="44" t="s">
        <v>16</v>
      </c>
      <c r="B20" s="47" t="s">
        <v>30</v>
      </c>
      <c r="C20" s="12">
        <v>127</v>
      </c>
      <c r="D20" s="12">
        <v>43</v>
      </c>
      <c r="E20" s="12">
        <v>43</v>
      </c>
      <c r="F20" s="12">
        <v>43</v>
      </c>
      <c r="G20" s="12">
        <f>D20-42</f>
        <v>1</v>
      </c>
      <c r="H20" s="12">
        <v>67</v>
      </c>
      <c r="I20" s="12">
        <v>19</v>
      </c>
      <c r="J20" s="12">
        <v>19</v>
      </c>
      <c r="K20" s="12">
        <v>19</v>
      </c>
      <c r="L20" s="12">
        <f>I20-19</f>
        <v>0</v>
      </c>
      <c r="M20" s="12" t="s">
        <v>15</v>
      </c>
      <c r="N20" s="12" t="s">
        <v>15</v>
      </c>
      <c r="O20" s="12" t="s">
        <v>15</v>
      </c>
      <c r="P20" s="58" t="s">
        <v>15</v>
      </c>
      <c r="Q20" s="58" t="s">
        <v>15</v>
      </c>
      <c r="R20" s="58">
        <v>60</v>
      </c>
      <c r="S20" s="58">
        <v>24</v>
      </c>
      <c r="T20" s="58">
        <v>24</v>
      </c>
      <c r="U20" s="58">
        <v>24</v>
      </c>
      <c r="V20" s="58">
        <f>S20-23</f>
        <v>1</v>
      </c>
    </row>
    <row r="21" spans="1:22" ht="15.95" customHeight="1" x14ac:dyDescent="0.25">
      <c r="A21" s="44" t="s">
        <v>18</v>
      </c>
      <c r="B21" s="47" t="s">
        <v>31</v>
      </c>
      <c r="C21" s="12">
        <v>209</v>
      </c>
      <c r="D21" s="12">
        <v>99</v>
      </c>
      <c r="E21" s="12">
        <v>99</v>
      </c>
      <c r="F21" s="12">
        <v>99</v>
      </c>
      <c r="G21" s="12">
        <f>D21-100</f>
        <v>-1</v>
      </c>
      <c r="H21" s="12">
        <v>40</v>
      </c>
      <c r="I21" s="12">
        <v>15</v>
      </c>
      <c r="J21" s="12">
        <v>15</v>
      </c>
      <c r="K21" s="12">
        <v>15</v>
      </c>
      <c r="L21" s="12">
        <f>I21-16</f>
        <v>-1</v>
      </c>
      <c r="M21" s="12" t="s">
        <v>15</v>
      </c>
      <c r="N21" s="12" t="s">
        <v>15</v>
      </c>
      <c r="O21" s="12" t="s">
        <v>15</v>
      </c>
      <c r="P21" s="58" t="s">
        <v>15</v>
      </c>
      <c r="Q21" s="58" t="s">
        <v>15</v>
      </c>
      <c r="R21" s="58">
        <v>169</v>
      </c>
      <c r="S21" s="58">
        <v>84</v>
      </c>
      <c r="T21" s="58">
        <v>84</v>
      </c>
      <c r="U21" s="58">
        <v>84</v>
      </c>
      <c r="V21" s="58">
        <f>S21-84</f>
        <v>0</v>
      </c>
    </row>
    <row r="22" spans="1:22" ht="15.95" customHeight="1" x14ac:dyDescent="0.25">
      <c r="A22" s="44" t="s">
        <v>20</v>
      </c>
      <c r="B22" s="47" t="s">
        <v>32</v>
      </c>
      <c r="C22" s="12">
        <v>408</v>
      </c>
      <c r="D22" s="12">
        <v>125</v>
      </c>
      <c r="E22" s="12">
        <v>125</v>
      </c>
      <c r="F22" s="12">
        <v>125</v>
      </c>
      <c r="G22" s="12">
        <f>D22-126</f>
        <v>-1</v>
      </c>
      <c r="H22" s="12">
        <v>116</v>
      </c>
      <c r="I22" s="12">
        <v>31</v>
      </c>
      <c r="J22" s="12">
        <v>31</v>
      </c>
      <c r="K22" s="12">
        <v>31</v>
      </c>
      <c r="L22" s="12">
        <f>I22-32</f>
        <v>-1</v>
      </c>
      <c r="M22" s="12">
        <v>22</v>
      </c>
      <c r="N22" s="12">
        <v>10</v>
      </c>
      <c r="O22" s="12">
        <v>10</v>
      </c>
      <c r="P22" s="58">
        <v>10</v>
      </c>
      <c r="Q22" s="58">
        <f>N22-10</f>
        <v>0</v>
      </c>
      <c r="R22" s="58">
        <v>270</v>
      </c>
      <c r="S22" s="58">
        <v>84</v>
      </c>
      <c r="T22" s="58">
        <v>84</v>
      </c>
      <c r="U22" s="58">
        <v>84</v>
      </c>
      <c r="V22" s="58">
        <f>S22-84</f>
        <v>0</v>
      </c>
    </row>
    <row r="23" spans="1:22" ht="15.95" customHeight="1" x14ac:dyDescent="0.25">
      <c r="A23" s="170" t="s">
        <v>34</v>
      </c>
      <c r="B23" s="170"/>
      <c r="C23" s="22">
        <f t="shared" ref="C23:V23" si="3">SUM(C19:C22)</f>
        <v>1019</v>
      </c>
      <c r="D23" s="22">
        <f t="shared" si="3"/>
        <v>388</v>
      </c>
      <c r="E23" s="22">
        <f t="shared" si="3"/>
        <v>308</v>
      </c>
      <c r="F23" s="22">
        <f t="shared" si="3"/>
        <v>354</v>
      </c>
      <c r="G23" s="22">
        <f t="shared" si="3"/>
        <v>21</v>
      </c>
      <c r="H23" s="22">
        <f t="shared" si="3"/>
        <v>299</v>
      </c>
      <c r="I23" s="22">
        <f t="shared" si="3"/>
        <v>106</v>
      </c>
      <c r="J23" s="22">
        <f t="shared" si="3"/>
        <v>106</v>
      </c>
      <c r="K23" s="22">
        <f t="shared" si="3"/>
        <v>106</v>
      </c>
      <c r="L23" s="22">
        <f t="shared" si="3"/>
        <v>-2</v>
      </c>
      <c r="M23" s="22">
        <f t="shared" si="3"/>
        <v>31</v>
      </c>
      <c r="N23" s="22">
        <f t="shared" si="3"/>
        <v>12</v>
      </c>
      <c r="O23" s="22">
        <f t="shared" si="3"/>
        <v>10</v>
      </c>
      <c r="P23" s="22">
        <f t="shared" si="3"/>
        <v>12</v>
      </c>
      <c r="Q23" s="22">
        <f t="shared" si="3"/>
        <v>0</v>
      </c>
      <c r="R23" s="22">
        <f t="shared" si="3"/>
        <v>689</v>
      </c>
      <c r="S23" s="22">
        <f t="shared" si="3"/>
        <v>270</v>
      </c>
      <c r="T23" s="22">
        <f t="shared" si="3"/>
        <v>192</v>
      </c>
      <c r="U23" s="22">
        <f t="shared" si="3"/>
        <v>236</v>
      </c>
      <c r="V23" s="22">
        <f t="shared" si="3"/>
        <v>23</v>
      </c>
    </row>
    <row r="24" spans="1:22" ht="15.95" customHeight="1" x14ac:dyDescent="0.25">
      <c r="A24" s="170" t="s">
        <v>36</v>
      </c>
      <c r="B24" s="170"/>
      <c r="C24" s="22">
        <f t="shared" ref="C24:L24" si="4">C23/4</f>
        <v>254.75</v>
      </c>
      <c r="D24" s="22">
        <f t="shared" si="4"/>
        <v>97</v>
      </c>
      <c r="E24" s="22">
        <f t="shared" si="4"/>
        <v>77</v>
      </c>
      <c r="F24" s="22">
        <f t="shared" si="4"/>
        <v>88.5</v>
      </c>
      <c r="G24" s="22">
        <f t="shared" si="4"/>
        <v>5.25</v>
      </c>
      <c r="H24" s="22">
        <f t="shared" si="4"/>
        <v>74.75</v>
      </c>
      <c r="I24" s="22">
        <f t="shared" si="4"/>
        <v>26.5</v>
      </c>
      <c r="J24" s="22">
        <f t="shared" si="4"/>
        <v>26.5</v>
      </c>
      <c r="K24" s="22">
        <f t="shared" si="4"/>
        <v>26.5</v>
      </c>
      <c r="L24" s="23">
        <f t="shared" si="4"/>
        <v>-0.5</v>
      </c>
      <c r="M24" s="22">
        <f>M23/2</f>
        <v>15.5</v>
      </c>
      <c r="N24" s="22">
        <f>N23/2</f>
        <v>6</v>
      </c>
      <c r="O24" s="22">
        <f>O23/2</f>
        <v>5</v>
      </c>
      <c r="P24" s="22">
        <f>P23/2</f>
        <v>6</v>
      </c>
      <c r="Q24" s="22">
        <v>0</v>
      </c>
      <c r="R24" s="22">
        <f>R23/4</f>
        <v>172.25</v>
      </c>
      <c r="S24" s="22">
        <f>S23/4</f>
        <v>67.5</v>
      </c>
      <c r="T24" s="22">
        <f>T23/4</f>
        <v>48</v>
      </c>
      <c r="U24" s="22">
        <f>U23/4</f>
        <v>59</v>
      </c>
      <c r="V24" s="22">
        <f>V23/4</f>
        <v>5.75</v>
      </c>
    </row>
    <row r="25" spans="1:22" ht="30" customHeight="1" x14ac:dyDescent="0.25">
      <c r="A25" s="171" t="s">
        <v>33</v>
      </c>
      <c r="B25" s="171"/>
      <c r="C25" s="26">
        <f t="shared" ref="C25:P25" si="5">SUM(C16,C23)</f>
        <v>3033</v>
      </c>
      <c r="D25" s="26">
        <f t="shared" si="5"/>
        <v>990</v>
      </c>
      <c r="E25" s="26">
        <f t="shared" si="5"/>
        <v>903</v>
      </c>
      <c r="F25" s="26">
        <f t="shared" si="5"/>
        <v>953</v>
      </c>
      <c r="G25" s="26">
        <f t="shared" si="5"/>
        <v>28</v>
      </c>
      <c r="H25" s="26">
        <f t="shared" si="5"/>
        <v>986</v>
      </c>
      <c r="I25" s="26">
        <f t="shared" si="5"/>
        <v>284</v>
      </c>
      <c r="J25" s="34">
        <f t="shared" si="5"/>
        <v>280</v>
      </c>
      <c r="K25" s="34">
        <f t="shared" si="5"/>
        <v>284</v>
      </c>
      <c r="L25" s="34">
        <f t="shared" si="5"/>
        <v>3</v>
      </c>
      <c r="M25" s="34">
        <f t="shared" si="5"/>
        <v>328</v>
      </c>
      <c r="N25" s="34">
        <f t="shared" si="5"/>
        <v>101</v>
      </c>
      <c r="O25" s="34">
        <f t="shared" si="5"/>
        <v>99</v>
      </c>
      <c r="P25" s="34">
        <f t="shared" si="5"/>
        <v>101</v>
      </c>
      <c r="Q25" s="34">
        <v>8</v>
      </c>
      <c r="R25" s="34">
        <f>SUM(R16,R24)</f>
        <v>1238.25</v>
      </c>
      <c r="S25" s="34">
        <f>SUM(S16,S23)</f>
        <v>605</v>
      </c>
      <c r="T25" s="34">
        <f>SUM(T16,T23)</f>
        <v>524</v>
      </c>
      <c r="U25" s="34">
        <f>SUM(U16,U23)</f>
        <v>568</v>
      </c>
      <c r="V25" s="34">
        <f>SUM(V16,V23)</f>
        <v>27</v>
      </c>
    </row>
    <row r="26" spans="1:22" ht="33" customHeight="1" x14ac:dyDescent="0.25">
      <c r="A26" s="171" t="s">
        <v>35</v>
      </c>
      <c r="B26" s="171"/>
      <c r="C26" s="26">
        <f t="shared" ref="C26:L26" si="6">C25/11</f>
        <v>275.72727272727275</v>
      </c>
      <c r="D26" s="26">
        <f t="shared" si="6"/>
        <v>90</v>
      </c>
      <c r="E26" s="26">
        <f t="shared" si="6"/>
        <v>82.090909090909093</v>
      </c>
      <c r="F26" s="26">
        <f t="shared" si="6"/>
        <v>86.63636363636364</v>
      </c>
      <c r="G26" s="26">
        <f t="shared" si="6"/>
        <v>2.5454545454545454</v>
      </c>
      <c r="H26" s="26">
        <f t="shared" si="6"/>
        <v>89.63636363636364</v>
      </c>
      <c r="I26" s="26">
        <f t="shared" si="6"/>
        <v>25.818181818181817</v>
      </c>
      <c r="J26" s="26">
        <f t="shared" si="6"/>
        <v>25.454545454545453</v>
      </c>
      <c r="K26" s="26">
        <f t="shared" si="6"/>
        <v>25.818181818181817</v>
      </c>
      <c r="L26" s="27">
        <f t="shared" si="6"/>
        <v>0.27272727272727271</v>
      </c>
      <c r="M26" s="34">
        <f>M25/7</f>
        <v>46.857142857142854</v>
      </c>
      <c r="N26" s="34">
        <f>N25/7</f>
        <v>14.428571428571429</v>
      </c>
      <c r="O26" s="34">
        <f>O25/7</f>
        <v>14.142857142857142</v>
      </c>
      <c r="P26" s="34">
        <f>P25/7</f>
        <v>14.428571428571429</v>
      </c>
      <c r="Q26" s="34">
        <f>Q25/7</f>
        <v>1.1428571428571428</v>
      </c>
      <c r="R26" s="34">
        <f>R25/8</f>
        <v>154.78125</v>
      </c>
      <c r="S26" s="34">
        <f>S25/8</f>
        <v>75.625</v>
      </c>
      <c r="T26" s="34">
        <f>T25/8</f>
        <v>65.5</v>
      </c>
      <c r="U26" s="34">
        <f>U25/8</f>
        <v>71</v>
      </c>
      <c r="V26" s="34">
        <f>V25/8</f>
        <v>3.375</v>
      </c>
    </row>
  </sheetData>
  <mergeCells count="32">
    <mergeCell ref="A2:V2"/>
    <mergeCell ref="A3:V3"/>
    <mergeCell ref="D6:D7"/>
    <mergeCell ref="I6:I7"/>
    <mergeCell ref="N6:N7"/>
    <mergeCell ref="S6:S7"/>
    <mergeCell ref="H5:K5"/>
    <mergeCell ref="H6:H7"/>
    <mergeCell ref="G5:G7"/>
    <mergeCell ref="L5:L7"/>
    <mergeCell ref="Q5:Q7"/>
    <mergeCell ref="V5:V7"/>
    <mergeCell ref="O6:P6"/>
    <mergeCell ref="T6:U6"/>
    <mergeCell ref="M6:M7"/>
    <mergeCell ref="R6:R7"/>
    <mergeCell ref="A8:U8"/>
    <mergeCell ref="A26:B26"/>
    <mergeCell ref="E6:F6"/>
    <mergeCell ref="C6:C7"/>
    <mergeCell ref="A5:A7"/>
    <mergeCell ref="B5:B7"/>
    <mergeCell ref="C5:F5"/>
    <mergeCell ref="J6:K6"/>
    <mergeCell ref="A18:U18"/>
    <mergeCell ref="A16:B16"/>
    <mergeCell ref="A17:B17"/>
    <mergeCell ref="A23:B23"/>
    <mergeCell ref="A24:B24"/>
    <mergeCell ref="A25:B25"/>
    <mergeCell ref="M5:P5"/>
    <mergeCell ref="R5:U5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S25"/>
  <sheetViews>
    <sheetView topLeftCell="A4" workbookViewId="0">
      <selection activeCell="R25" sqref="R25"/>
    </sheetView>
  </sheetViews>
  <sheetFormatPr defaultRowHeight="15" x14ac:dyDescent="0.25"/>
  <cols>
    <col min="1" max="1" width="3.7109375" customWidth="1"/>
    <col min="2" max="2" width="29.28515625" customWidth="1"/>
    <col min="3" max="4" width="8.85546875" customWidth="1"/>
    <col min="5" max="5" width="10.42578125" customWidth="1"/>
    <col min="6" max="6" width="15.85546875" customWidth="1"/>
    <col min="7" max="7" width="8.85546875" customWidth="1"/>
    <col min="8" max="8" width="8.7109375" customWidth="1"/>
    <col min="9" max="9" width="10.7109375" customWidth="1"/>
    <col min="10" max="10" width="15.85546875" customWidth="1"/>
    <col min="11" max="11" width="8.85546875" customWidth="1"/>
    <col min="12" max="12" width="9" customWidth="1"/>
    <col min="13" max="13" width="10.5703125" customWidth="1"/>
    <col min="14" max="14" width="16" customWidth="1"/>
    <col min="15" max="16" width="8.7109375" customWidth="1"/>
    <col min="17" max="17" width="10.5703125" customWidth="1"/>
    <col min="18" max="18" width="16.140625" customWidth="1"/>
  </cols>
  <sheetData>
    <row r="2" spans="1:19" ht="15.75" x14ac:dyDescent="0.25">
      <c r="A2" s="136" t="s">
        <v>101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4" spans="1:19" ht="15.95" customHeight="1" x14ac:dyDescent="0.25">
      <c r="A4" s="115" t="s">
        <v>3</v>
      </c>
      <c r="B4" s="115" t="s">
        <v>4</v>
      </c>
      <c r="C4" s="173" t="s">
        <v>61</v>
      </c>
      <c r="D4" s="173"/>
      <c r="E4" s="173"/>
      <c r="F4" s="173"/>
      <c r="G4" s="174" t="s">
        <v>7</v>
      </c>
      <c r="H4" s="175"/>
      <c r="I4" s="175"/>
      <c r="J4" s="176"/>
      <c r="K4" s="173" t="s">
        <v>57</v>
      </c>
      <c r="L4" s="173"/>
      <c r="M4" s="173"/>
      <c r="N4" s="173"/>
      <c r="O4" s="173" t="s">
        <v>58</v>
      </c>
      <c r="P4" s="173"/>
      <c r="Q4" s="173"/>
      <c r="R4" s="173"/>
    </row>
    <row r="5" spans="1:19" ht="29.25" customHeight="1" x14ac:dyDescent="0.25">
      <c r="A5" s="115"/>
      <c r="B5" s="115"/>
      <c r="C5" s="115" t="s">
        <v>97</v>
      </c>
      <c r="D5" s="115" t="s">
        <v>99</v>
      </c>
      <c r="E5" s="141" t="s">
        <v>98</v>
      </c>
      <c r="F5" s="141" t="s">
        <v>100</v>
      </c>
      <c r="G5" s="115" t="s">
        <v>97</v>
      </c>
      <c r="H5" s="115" t="s">
        <v>99</v>
      </c>
      <c r="I5" s="141" t="s">
        <v>98</v>
      </c>
      <c r="J5" s="141" t="s">
        <v>100</v>
      </c>
      <c r="K5" s="115" t="s">
        <v>97</v>
      </c>
      <c r="L5" s="115" t="s">
        <v>99</v>
      </c>
      <c r="M5" s="141" t="s">
        <v>98</v>
      </c>
      <c r="N5" s="141" t="s">
        <v>100</v>
      </c>
      <c r="O5" s="115" t="s">
        <v>97</v>
      </c>
      <c r="P5" s="115" t="s">
        <v>99</v>
      </c>
      <c r="Q5" s="141" t="s">
        <v>98</v>
      </c>
      <c r="R5" s="141" t="s">
        <v>100</v>
      </c>
    </row>
    <row r="6" spans="1:19" ht="47.25" customHeight="1" x14ac:dyDescent="0.25">
      <c r="A6" s="115"/>
      <c r="B6" s="115"/>
      <c r="C6" s="115"/>
      <c r="D6" s="115"/>
      <c r="E6" s="142"/>
      <c r="F6" s="142"/>
      <c r="G6" s="115"/>
      <c r="H6" s="115"/>
      <c r="I6" s="142"/>
      <c r="J6" s="142"/>
      <c r="K6" s="115"/>
      <c r="L6" s="115"/>
      <c r="M6" s="142"/>
      <c r="N6" s="142"/>
      <c r="O6" s="115"/>
      <c r="P6" s="115"/>
      <c r="Q6" s="142"/>
      <c r="R6" s="142"/>
    </row>
    <row r="7" spans="1:19" ht="15.95" customHeight="1" x14ac:dyDescent="0.25">
      <c r="A7" s="152" t="s">
        <v>11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4"/>
    </row>
    <row r="8" spans="1:19" ht="15.95" customHeight="1" x14ac:dyDescent="0.25">
      <c r="A8" s="44" t="s">
        <v>12</v>
      </c>
      <c r="B8" s="47" t="s">
        <v>13</v>
      </c>
      <c r="C8" s="12">
        <v>80221</v>
      </c>
      <c r="D8" s="12">
        <v>80019</v>
      </c>
      <c r="E8" s="96">
        <f>C8/12</f>
        <v>6685.083333333333</v>
      </c>
      <c r="F8" s="12">
        <f>E8-6081</f>
        <v>604.08333333333303</v>
      </c>
      <c r="G8" s="12">
        <v>36463</v>
      </c>
      <c r="H8" s="12">
        <v>36405</v>
      </c>
      <c r="I8" s="12">
        <v>36463</v>
      </c>
      <c r="J8" s="12">
        <f>I8-30864</f>
        <v>5599</v>
      </c>
      <c r="K8" s="12">
        <f>41114+2644</f>
        <v>43758</v>
      </c>
      <c r="L8" s="12">
        <f>40975+2639</f>
        <v>43614</v>
      </c>
      <c r="M8" s="95">
        <f>K8/11</f>
        <v>3978</v>
      </c>
      <c r="N8" s="58">
        <f>M8-4210</f>
        <v>-232</v>
      </c>
      <c r="O8" s="58" t="s">
        <v>15</v>
      </c>
      <c r="P8" s="58" t="s">
        <v>15</v>
      </c>
      <c r="Q8" s="95" t="s">
        <v>15</v>
      </c>
      <c r="R8" s="58" t="s">
        <v>15</v>
      </c>
    </row>
    <row r="9" spans="1:19" ht="15.95" customHeight="1" x14ac:dyDescent="0.25">
      <c r="A9" s="44" t="s">
        <v>16</v>
      </c>
      <c r="B9" s="47" t="s">
        <v>17</v>
      </c>
      <c r="C9" s="12">
        <v>4337</v>
      </c>
      <c r="D9" s="12">
        <v>4337</v>
      </c>
      <c r="E9" s="96">
        <f>C9/26</f>
        <v>166.80769230769232</v>
      </c>
      <c r="F9" s="12">
        <f>E9-159</f>
        <v>7.8076923076923208</v>
      </c>
      <c r="G9" s="12">
        <v>651</v>
      </c>
      <c r="H9" s="12">
        <v>651</v>
      </c>
      <c r="I9" s="12">
        <v>651</v>
      </c>
      <c r="J9" s="12">
        <f>I9-611</f>
        <v>40</v>
      </c>
      <c r="K9" s="12">
        <v>116</v>
      </c>
      <c r="L9" s="12">
        <v>116</v>
      </c>
      <c r="M9" s="12">
        <v>116</v>
      </c>
      <c r="N9" s="58">
        <f>M9-105</f>
        <v>11</v>
      </c>
      <c r="O9" s="58">
        <v>3570</v>
      </c>
      <c r="P9" s="58">
        <v>3570</v>
      </c>
      <c r="Q9" s="95">
        <f>O9/24</f>
        <v>148.75</v>
      </c>
      <c r="R9" s="58">
        <f>Q9-143</f>
        <v>5.75</v>
      </c>
      <c r="S9" s="98"/>
    </row>
    <row r="10" spans="1:19" ht="15.95" customHeight="1" x14ac:dyDescent="0.25">
      <c r="A10" s="44" t="s">
        <v>18</v>
      </c>
      <c r="B10" s="47" t="s">
        <v>19</v>
      </c>
      <c r="C10" s="12">
        <v>23633</v>
      </c>
      <c r="D10" s="12">
        <v>23602</v>
      </c>
      <c r="E10" s="96">
        <f>C10/20</f>
        <v>1181.6500000000001</v>
      </c>
      <c r="F10" s="12">
        <f>E10-398</f>
        <v>783.65000000000009</v>
      </c>
      <c r="G10" s="12">
        <v>19366</v>
      </c>
      <c r="H10" s="12">
        <v>19366</v>
      </c>
      <c r="I10" s="12">
        <v>19366</v>
      </c>
      <c r="J10" s="12">
        <f>I10-4620</f>
        <v>14746</v>
      </c>
      <c r="K10" s="12">
        <v>537</v>
      </c>
      <c r="L10" s="12">
        <v>537</v>
      </c>
      <c r="M10" s="12">
        <v>537</v>
      </c>
      <c r="N10" s="58">
        <f>M10-463</f>
        <v>74</v>
      </c>
      <c r="O10" s="58">
        <v>3730</v>
      </c>
      <c r="P10" s="58">
        <v>3699</v>
      </c>
      <c r="Q10" s="95">
        <f>O10/18</f>
        <v>207.22222222222223</v>
      </c>
      <c r="R10" s="58">
        <f>Q10-160</f>
        <v>47.222222222222229</v>
      </c>
      <c r="S10" s="98"/>
    </row>
    <row r="11" spans="1:19" ht="15.95" customHeight="1" x14ac:dyDescent="0.25">
      <c r="A11" s="44" t="s">
        <v>20</v>
      </c>
      <c r="B11" s="47" t="s">
        <v>21</v>
      </c>
      <c r="C11" s="12">
        <v>4313</v>
      </c>
      <c r="D11" s="12">
        <v>4032</v>
      </c>
      <c r="E11" s="96">
        <f>C11/3</f>
        <v>1437.6666666666667</v>
      </c>
      <c r="F11" s="12">
        <f>E11-1353</f>
        <v>84.666666666666742</v>
      </c>
      <c r="G11" s="12">
        <v>1050</v>
      </c>
      <c r="H11" s="12">
        <v>995</v>
      </c>
      <c r="I11" s="12">
        <v>1050</v>
      </c>
      <c r="J11" s="12">
        <f>I11-855</f>
        <v>195</v>
      </c>
      <c r="K11" s="12">
        <v>3263</v>
      </c>
      <c r="L11" s="12">
        <v>3037</v>
      </c>
      <c r="M11" s="95">
        <f>K11/2</f>
        <v>1631.5</v>
      </c>
      <c r="N11" s="58">
        <f>M11-1602</f>
        <v>29.5</v>
      </c>
      <c r="O11" s="58" t="s">
        <v>15</v>
      </c>
      <c r="P11" s="58" t="s">
        <v>15</v>
      </c>
      <c r="Q11" s="95" t="s">
        <v>15</v>
      </c>
      <c r="R11" s="58" t="s">
        <v>15</v>
      </c>
    </row>
    <row r="12" spans="1:19" ht="15.95" customHeight="1" x14ac:dyDescent="0.25">
      <c r="A12" s="44" t="s">
        <v>22</v>
      </c>
      <c r="B12" s="47" t="s">
        <v>23</v>
      </c>
      <c r="C12" s="12">
        <v>1338</v>
      </c>
      <c r="D12" s="12">
        <v>1338</v>
      </c>
      <c r="E12" s="97">
        <f>C12/3</f>
        <v>446</v>
      </c>
      <c r="F12" s="12">
        <f>E12-658</f>
        <v>-212</v>
      </c>
      <c r="G12" s="12">
        <v>1338</v>
      </c>
      <c r="H12" s="12">
        <v>1338</v>
      </c>
      <c r="I12" s="12">
        <v>1338</v>
      </c>
      <c r="J12" s="12">
        <f>I12-1973</f>
        <v>-635</v>
      </c>
      <c r="K12" s="12" t="s">
        <v>15</v>
      </c>
      <c r="L12" s="12" t="s">
        <v>15</v>
      </c>
      <c r="M12" s="95" t="s">
        <v>15</v>
      </c>
      <c r="N12" s="58" t="s">
        <v>15</v>
      </c>
      <c r="O12" s="58" t="s">
        <v>15</v>
      </c>
      <c r="P12" s="58" t="s">
        <v>15</v>
      </c>
      <c r="Q12" s="95" t="s">
        <v>15</v>
      </c>
      <c r="R12" s="58" t="s">
        <v>15</v>
      </c>
    </row>
    <row r="13" spans="1:19" ht="15.95" customHeight="1" x14ac:dyDescent="0.25">
      <c r="A13" s="44" t="s">
        <v>24</v>
      </c>
      <c r="B13" s="47" t="s">
        <v>25</v>
      </c>
      <c r="C13" s="12">
        <v>9178</v>
      </c>
      <c r="D13" s="12">
        <v>9001</v>
      </c>
      <c r="E13" s="96">
        <f>C13/15</f>
        <v>611.86666666666667</v>
      </c>
      <c r="F13" s="12">
        <f>E13-830</f>
        <v>-218.13333333333333</v>
      </c>
      <c r="G13" s="12">
        <v>4726</v>
      </c>
      <c r="H13" s="12">
        <v>4726</v>
      </c>
      <c r="I13" s="12">
        <v>4726</v>
      </c>
      <c r="J13" s="12">
        <f>I13-8408</f>
        <v>-3682</v>
      </c>
      <c r="K13" s="12">
        <v>542</v>
      </c>
      <c r="L13" s="12">
        <v>461</v>
      </c>
      <c r="M13" s="12">
        <v>542</v>
      </c>
      <c r="N13" s="58">
        <f>M13-537</f>
        <v>5</v>
      </c>
      <c r="O13" s="58">
        <v>3910</v>
      </c>
      <c r="P13" s="58">
        <v>3814</v>
      </c>
      <c r="Q13" s="95">
        <f>O13/13</f>
        <v>300.76923076923077</v>
      </c>
      <c r="R13" s="58">
        <f>Q13-269</f>
        <v>31.769230769230774</v>
      </c>
      <c r="S13" s="98"/>
    </row>
    <row r="14" spans="1:19" ht="15.95" customHeight="1" x14ac:dyDescent="0.25">
      <c r="A14" s="44" t="s">
        <v>26</v>
      </c>
      <c r="B14" s="47" t="s">
        <v>27</v>
      </c>
      <c r="C14" s="12">
        <v>17082</v>
      </c>
      <c r="D14" s="12">
        <v>17082</v>
      </c>
      <c r="E14" s="96">
        <f>C14/22</f>
        <v>776.4545454545455</v>
      </c>
      <c r="F14" s="12">
        <f>E14-744</f>
        <v>32.454545454545496</v>
      </c>
      <c r="G14" s="12">
        <v>7355</v>
      </c>
      <c r="H14" s="12">
        <v>7355</v>
      </c>
      <c r="I14" s="12">
        <v>7355</v>
      </c>
      <c r="J14" s="12">
        <f>I14-6984</f>
        <v>371</v>
      </c>
      <c r="K14" s="12" t="s">
        <v>15</v>
      </c>
      <c r="L14" s="12" t="s">
        <v>15</v>
      </c>
      <c r="M14" s="95" t="s">
        <v>15</v>
      </c>
      <c r="N14" s="58" t="s">
        <v>15</v>
      </c>
      <c r="O14" s="58">
        <v>9727</v>
      </c>
      <c r="P14" s="58">
        <v>9727</v>
      </c>
      <c r="Q14" s="95">
        <f>O14/21</f>
        <v>463.1904761904762</v>
      </c>
      <c r="R14" s="58">
        <f>Q14-447</f>
        <v>16.190476190476204</v>
      </c>
      <c r="S14" s="98"/>
    </row>
    <row r="15" spans="1:19" ht="15.95" customHeight="1" x14ac:dyDescent="0.25">
      <c r="A15" s="170" t="s">
        <v>34</v>
      </c>
      <c r="B15" s="170"/>
      <c r="C15" s="22">
        <f t="shared" ref="C15:R15" si="0">SUM(C8:C14)</f>
        <v>140102</v>
      </c>
      <c r="D15" s="22">
        <f t="shared" si="0"/>
        <v>139411</v>
      </c>
      <c r="E15" s="22">
        <f t="shared" si="0"/>
        <v>11305.528904428904</v>
      </c>
      <c r="F15" s="59">
        <f t="shared" si="0"/>
        <v>1082.5289044289043</v>
      </c>
      <c r="G15" s="22">
        <f t="shared" si="0"/>
        <v>70949</v>
      </c>
      <c r="H15" s="22">
        <f t="shared" si="0"/>
        <v>70836</v>
      </c>
      <c r="I15" s="22">
        <f t="shared" si="0"/>
        <v>70949</v>
      </c>
      <c r="J15" s="22">
        <f t="shared" si="0"/>
        <v>16634</v>
      </c>
      <c r="K15" s="22">
        <f t="shared" si="0"/>
        <v>48216</v>
      </c>
      <c r="L15" s="22">
        <f t="shared" si="0"/>
        <v>47765</v>
      </c>
      <c r="M15" s="22">
        <f t="shared" si="0"/>
        <v>6804.5</v>
      </c>
      <c r="N15" s="22">
        <f t="shared" si="0"/>
        <v>-112.5</v>
      </c>
      <c r="O15" s="22">
        <f t="shared" si="0"/>
        <v>20937</v>
      </c>
      <c r="P15" s="22">
        <f t="shared" si="0"/>
        <v>20810</v>
      </c>
      <c r="Q15" s="22">
        <f t="shared" si="0"/>
        <v>1119.9319291819293</v>
      </c>
      <c r="R15" s="22">
        <f t="shared" si="0"/>
        <v>100.93192918192921</v>
      </c>
    </row>
    <row r="16" spans="1:19" ht="15.95" customHeight="1" x14ac:dyDescent="0.25">
      <c r="A16" s="170" t="s">
        <v>36</v>
      </c>
      <c r="B16" s="170"/>
      <c r="C16" s="22">
        <f t="shared" ref="C16:J16" si="1">C15/7</f>
        <v>20014.571428571428</v>
      </c>
      <c r="D16" s="22">
        <f t="shared" si="1"/>
        <v>19915.857142857141</v>
      </c>
      <c r="E16" s="22">
        <f t="shared" si="1"/>
        <v>1615.0755577755576</v>
      </c>
      <c r="F16" s="59">
        <f t="shared" si="1"/>
        <v>154.64698634698632</v>
      </c>
      <c r="G16" s="22">
        <f t="shared" si="1"/>
        <v>10135.571428571429</v>
      </c>
      <c r="H16" s="22">
        <f t="shared" si="1"/>
        <v>10119.428571428571</v>
      </c>
      <c r="I16" s="22">
        <f t="shared" si="1"/>
        <v>10135.571428571429</v>
      </c>
      <c r="J16" s="22">
        <f t="shared" si="1"/>
        <v>2376.2857142857142</v>
      </c>
      <c r="K16" s="22">
        <f>K15/5</f>
        <v>9643.2000000000007</v>
      </c>
      <c r="L16" s="22">
        <f>L15/5</f>
        <v>9553</v>
      </c>
      <c r="M16" s="22">
        <f>M15/5</f>
        <v>1360.9</v>
      </c>
      <c r="N16" s="22">
        <f>N15/5</f>
        <v>-22.5</v>
      </c>
      <c r="O16" s="22">
        <f>O15/4</f>
        <v>5234.25</v>
      </c>
      <c r="P16" s="22">
        <f>P15/4</f>
        <v>5202.5</v>
      </c>
      <c r="Q16" s="22">
        <f>Q15/4</f>
        <v>279.98298229548232</v>
      </c>
      <c r="R16" s="22">
        <f>R15/4</f>
        <v>25.232982295482302</v>
      </c>
    </row>
    <row r="17" spans="1:19" ht="15.95" customHeight="1" x14ac:dyDescent="0.25">
      <c r="A17" s="152" t="s">
        <v>28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4"/>
    </row>
    <row r="18" spans="1:19" ht="15.95" customHeight="1" x14ac:dyDescent="0.25">
      <c r="A18" s="44" t="s">
        <v>12</v>
      </c>
      <c r="B18" s="47" t="s">
        <v>29</v>
      </c>
      <c r="C18" s="12">
        <v>5650</v>
      </c>
      <c r="D18" s="12">
        <v>5345</v>
      </c>
      <c r="E18" s="96">
        <f>C18/26</f>
        <v>217.30769230769232</v>
      </c>
      <c r="F18" s="12">
        <f>E18-242</f>
        <v>-24.692307692307679</v>
      </c>
      <c r="G18" s="12">
        <v>3159</v>
      </c>
      <c r="H18" s="12">
        <v>3087</v>
      </c>
      <c r="I18" s="12">
        <v>3159</v>
      </c>
      <c r="J18" s="12">
        <f>I18-3682</f>
        <v>-523</v>
      </c>
      <c r="K18" s="12">
        <v>14</v>
      </c>
      <c r="L18" s="12">
        <v>14</v>
      </c>
      <c r="M18" s="95">
        <v>14</v>
      </c>
      <c r="N18" s="58">
        <f>M18-15</f>
        <v>-1</v>
      </c>
      <c r="O18" s="58">
        <v>2477</v>
      </c>
      <c r="P18" s="58">
        <v>2244</v>
      </c>
      <c r="Q18" s="95">
        <f>O18/23</f>
        <v>107.69565217391305</v>
      </c>
      <c r="R18" s="58">
        <f>Q18-102</f>
        <v>5.6956521739130466</v>
      </c>
      <c r="S18" s="98"/>
    </row>
    <row r="19" spans="1:19" ht="15.95" customHeight="1" x14ac:dyDescent="0.25">
      <c r="A19" s="44" t="s">
        <v>16</v>
      </c>
      <c r="B19" s="47" t="s">
        <v>30</v>
      </c>
      <c r="C19" s="12">
        <v>3888</v>
      </c>
      <c r="D19" s="12">
        <v>3888</v>
      </c>
      <c r="E19" s="96">
        <f>C19/9</f>
        <v>432</v>
      </c>
      <c r="F19" s="12">
        <f>E19-402</f>
        <v>30</v>
      </c>
      <c r="G19" s="12">
        <v>3067</v>
      </c>
      <c r="H19" s="12">
        <v>3067</v>
      </c>
      <c r="I19" s="12">
        <v>3067</v>
      </c>
      <c r="J19" s="12">
        <f>I19-2911</f>
        <v>156</v>
      </c>
      <c r="K19" s="12" t="s">
        <v>15</v>
      </c>
      <c r="L19" s="12" t="s">
        <v>15</v>
      </c>
      <c r="M19" s="95" t="s">
        <v>15</v>
      </c>
      <c r="N19" s="58" t="s">
        <v>15</v>
      </c>
      <c r="O19" s="58">
        <v>821</v>
      </c>
      <c r="P19" s="58">
        <v>821</v>
      </c>
      <c r="Q19" s="95">
        <f>O19/8</f>
        <v>102.625</v>
      </c>
      <c r="R19" s="58">
        <f>Q19-88</f>
        <v>14.625</v>
      </c>
      <c r="S19" s="98"/>
    </row>
    <row r="20" spans="1:19" ht="15.95" customHeight="1" x14ac:dyDescent="0.25">
      <c r="A20" s="44" t="s">
        <v>18</v>
      </c>
      <c r="B20" s="47" t="s">
        <v>31</v>
      </c>
      <c r="C20" s="12">
        <v>2835</v>
      </c>
      <c r="D20" s="12">
        <v>2683</v>
      </c>
      <c r="E20" s="96">
        <f>C20/24</f>
        <v>118.125</v>
      </c>
      <c r="F20" s="12">
        <f>E20-132</f>
        <v>-13.875</v>
      </c>
      <c r="G20" s="12">
        <v>706</v>
      </c>
      <c r="H20" s="12">
        <v>681</v>
      </c>
      <c r="I20" s="12">
        <v>706</v>
      </c>
      <c r="J20" s="12">
        <f>I20-822</f>
        <v>-116</v>
      </c>
      <c r="K20" s="12" t="s">
        <v>15</v>
      </c>
      <c r="L20" s="12" t="s">
        <v>15</v>
      </c>
      <c r="M20" s="95" t="s">
        <v>15</v>
      </c>
      <c r="N20" s="58" t="s">
        <v>15</v>
      </c>
      <c r="O20" s="58">
        <v>2129</v>
      </c>
      <c r="P20" s="58">
        <v>2002</v>
      </c>
      <c r="Q20" s="95">
        <f>O20/23</f>
        <v>92.565217391304344</v>
      </c>
      <c r="R20" s="58">
        <f>Q20-102</f>
        <v>-9.4347826086956559</v>
      </c>
      <c r="S20" s="98"/>
    </row>
    <row r="21" spans="1:19" ht="15.95" customHeight="1" x14ac:dyDescent="0.25">
      <c r="A21" s="44" t="s">
        <v>20</v>
      </c>
      <c r="B21" s="47" t="s">
        <v>32</v>
      </c>
      <c r="C21" s="12">
        <v>13835</v>
      </c>
      <c r="D21" s="12">
        <v>13773</v>
      </c>
      <c r="E21" s="96">
        <f>C21/28</f>
        <v>494.10714285714283</v>
      </c>
      <c r="F21" s="12">
        <f>E21-425</f>
        <v>69.107142857142833</v>
      </c>
      <c r="G21" s="12">
        <v>3734</v>
      </c>
      <c r="H21" s="12">
        <v>3732</v>
      </c>
      <c r="I21" s="12">
        <v>3734</v>
      </c>
      <c r="J21" s="12">
        <f>I21-799</f>
        <v>2935</v>
      </c>
      <c r="K21" s="12">
        <v>2617</v>
      </c>
      <c r="L21" s="12">
        <v>2617</v>
      </c>
      <c r="M21" s="95">
        <f>K21/2</f>
        <v>1308.5</v>
      </c>
      <c r="N21" s="58">
        <f>M21-1952</f>
        <v>-643.5</v>
      </c>
      <c r="O21" s="58">
        <v>7484</v>
      </c>
      <c r="P21" s="58">
        <v>7424</v>
      </c>
      <c r="Q21" s="95">
        <f>O21/24</f>
        <v>311.83333333333331</v>
      </c>
      <c r="R21" s="58">
        <f>Q21-287</f>
        <v>24.833333333333314</v>
      </c>
      <c r="S21" s="98"/>
    </row>
    <row r="22" spans="1:19" ht="15.95" customHeight="1" x14ac:dyDescent="0.25">
      <c r="A22" s="170" t="s">
        <v>34</v>
      </c>
      <c r="B22" s="170"/>
      <c r="C22" s="22">
        <f t="shared" ref="C22:R22" si="2">SUM(C18:C21)</f>
        <v>26208</v>
      </c>
      <c r="D22" s="22">
        <f t="shared" si="2"/>
        <v>25689</v>
      </c>
      <c r="E22" s="22">
        <f t="shared" si="2"/>
        <v>1261.5398351648353</v>
      </c>
      <c r="F22" s="22">
        <f t="shared" si="2"/>
        <v>60.539835164835154</v>
      </c>
      <c r="G22" s="22">
        <f t="shared" si="2"/>
        <v>10666</v>
      </c>
      <c r="H22" s="22">
        <f t="shared" si="2"/>
        <v>10567</v>
      </c>
      <c r="I22" s="22">
        <f t="shared" si="2"/>
        <v>10666</v>
      </c>
      <c r="J22" s="22">
        <f t="shared" si="2"/>
        <v>2452</v>
      </c>
      <c r="K22" s="22">
        <f t="shared" si="2"/>
        <v>2631</v>
      </c>
      <c r="L22" s="22">
        <f t="shared" si="2"/>
        <v>2631</v>
      </c>
      <c r="M22" s="22">
        <f t="shared" si="2"/>
        <v>1322.5</v>
      </c>
      <c r="N22" s="22">
        <f t="shared" si="2"/>
        <v>-644.5</v>
      </c>
      <c r="O22" s="22">
        <f t="shared" si="2"/>
        <v>12911</v>
      </c>
      <c r="P22" s="22">
        <f t="shared" si="2"/>
        <v>12491</v>
      </c>
      <c r="Q22" s="22">
        <f t="shared" si="2"/>
        <v>614.71920289855075</v>
      </c>
      <c r="R22" s="22">
        <f t="shared" si="2"/>
        <v>35.719202898550705</v>
      </c>
    </row>
    <row r="23" spans="1:19" ht="15.95" customHeight="1" x14ac:dyDescent="0.25">
      <c r="A23" s="170" t="s">
        <v>36</v>
      </c>
      <c r="B23" s="170"/>
      <c r="C23" s="22">
        <f t="shared" ref="C23:J23" si="3">C22/4</f>
        <v>6552</v>
      </c>
      <c r="D23" s="22">
        <f t="shared" si="3"/>
        <v>6422.25</v>
      </c>
      <c r="E23" s="22">
        <f t="shared" si="3"/>
        <v>315.38495879120882</v>
      </c>
      <c r="F23" s="22">
        <f t="shared" si="3"/>
        <v>15.134958791208788</v>
      </c>
      <c r="G23" s="22">
        <f t="shared" si="3"/>
        <v>2666.5</v>
      </c>
      <c r="H23" s="22">
        <f t="shared" si="3"/>
        <v>2641.75</v>
      </c>
      <c r="I23" s="22">
        <f t="shared" si="3"/>
        <v>2666.5</v>
      </c>
      <c r="J23" s="22">
        <f t="shared" si="3"/>
        <v>613</v>
      </c>
      <c r="K23" s="22">
        <f>K22/2</f>
        <v>1315.5</v>
      </c>
      <c r="L23" s="22">
        <f>L22/2</f>
        <v>1315.5</v>
      </c>
      <c r="M23" s="22">
        <f>M22/2</f>
        <v>661.25</v>
      </c>
      <c r="N23" s="22">
        <f>N22/2</f>
        <v>-322.25</v>
      </c>
      <c r="O23" s="22">
        <f>O22/4</f>
        <v>3227.75</v>
      </c>
      <c r="P23" s="22">
        <f>P22/4</f>
        <v>3122.75</v>
      </c>
      <c r="Q23" s="22">
        <f>Q22/4</f>
        <v>153.67980072463769</v>
      </c>
      <c r="R23" s="22">
        <f>R22/4</f>
        <v>8.9298007246376763</v>
      </c>
    </row>
    <row r="24" spans="1:19" ht="27.75" customHeight="1" x14ac:dyDescent="0.25">
      <c r="A24" s="171" t="s">
        <v>33</v>
      </c>
      <c r="B24" s="171"/>
      <c r="C24" s="26">
        <f t="shared" ref="C24:R24" si="4">SUM(C15,C22)</f>
        <v>166310</v>
      </c>
      <c r="D24" s="26">
        <f t="shared" si="4"/>
        <v>165100</v>
      </c>
      <c r="E24" s="26">
        <f t="shared" si="4"/>
        <v>12567.068739593738</v>
      </c>
      <c r="F24" s="26">
        <f t="shared" si="4"/>
        <v>1143.0687395937393</v>
      </c>
      <c r="G24" s="26">
        <f t="shared" si="4"/>
        <v>81615</v>
      </c>
      <c r="H24" s="26">
        <f t="shared" si="4"/>
        <v>81403</v>
      </c>
      <c r="I24" s="26">
        <f t="shared" si="4"/>
        <v>81615</v>
      </c>
      <c r="J24" s="34">
        <f t="shared" si="4"/>
        <v>19086</v>
      </c>
      <c r="K24" s="34">
        <f t="shared" si="4"/>
        <v>50847</v>
      </c>
      <c r="L24" s="34">
        <f t="shared" si="4"/>
        <v>50396</v>
      </c>
      <c r="M24" s="34">
        <f t="shared" si="4"/>
        <v>8127</v>
      </c>
      <c r="N24" s="34">
        <f t="shared" si="4"/>
        <v>-757</v>
      </c>
      <c r="O24" s="34">
        <f t="shared" si="4"/>
        <v>33848</v>
      </c>
      <c r="P24" s="34">
        <f t="shared" si="4"/>
        <v>33301</v>
      </c>
      <c r="Q24" s="34">
        <f t="shared" si="4"/>
        <v>1734.65113208048</v>
      </c>
      <c r="R24" s="34">
        <f t="shared" si="4"/>
        <v>136.6511320804799</v>
      </c>
    </row>
    <row r="25" spans="1:19" ht="31.5" customHeight="1" x14ac:dyDescent="0.25">
      <c r="A25" s="171" t="s">
        <v>35</v>
      </c>
      <c r="B25" s="171"/>
      <c r="C25" s="26">
        <f t="shared" ref="C25:J25" si="5">C24/11</f>
        <v>15119.09090909091</v>
      </c>
      <c r="D25" s="26">
        <f t="shared" si="5"/>
        <v>15009.09090909091</v>
      </c>
      <c r="E25" s="26">
        <f t="shared" si="5"/>
        <v>1142.4607945085218</v>
      </c>
      <c r="F25" s="26">
        <f t="shared" si="5"/>
        <v>103.91533996306721</v>
      </c>
      <c r="G25" s="26">
        <f t="shared" si="5"/>
        <v>7419.545454545455</v>
      </c>
      <c r="H25" s="26">
        <f t="shared" si="5"/>
        <v>7400.272727272727</v>
      </c>
      <c r="I25" s="26">
        <f t="shared" si="5"/>
        <v>7419.545454545455</v>
      </c>
      <c r="J25" s="26">
        <f t="shared" si="5"/>
        <v>1735.090909090909</v>
      </c>
      <c r="K25" s="34">
        <f>K24/7</f>
        <v>7263.8571428571431</v>
      </c>
      <c r="L25" s="34">
        <f>L24/7</f>
        <v>7199.4285714285716</v>
      </c>
      <c r="M25" s="34">
        <f>M24/7</f>
        <v>1161</v>
      </c>
      <c r="N25" s="34">
        <f>N24/7</f>
        <v>-108.14285714285714</v>
      </c>
      <c r="O25" s="34">
        <f>O24/8</f>
        <v>4231</v>
      </c>
      <c r="P25" s="34">
        <f>P24/8</f>
        <v>4162.625</v>
      </c>
      <c r="Q25" s="34">
        <f>Q24/8</f>
        <v>216.83139151006</v>
      </c>
      <c r="R25" s="34">
        <f>R24/8</f>
        <v>17.081391510059987</v>
      </c>
    </row>
  </sheetData>
  <mergeCells count="31">
    <mergeCell ref="A2:R2"/>
    <mergeCell ref="K4:N4"/>
    <mergeCell ref="O4:R4"/>
    <mergeCell ref="C5:C6"/>
    <mergeCell ref="E5:E6"/>
    <mergeCell ref="G5:G6"/>
    <mergeCell ref="I5:I6"/>
    <mergeCell ref="C4:F4"/>
    <mergeCell ref="G4:J4"/>
    <mergeCell ref="J5:J6"/>
    <mergeCell ref="F5:F6"/>
    <mergeCell ref="N5:N6"/>
    <mergeCell ref="R5:R6"/>
    <mergeCell ref="L5:L6"/>
    <mergeCell ref="P5:P6"/>
    <mergeCell ref="A24:B24"/>
    <mergeCell ref="B4:B6"/>
    <mergeCell ref="A25:B25"/>
    <mergeCell ref="D5:D6"/>
    <mergeCell ref="H5:H6"/>
    <mergeCell ref="A17:R17"/>
    <mergeCell ref="A22:B22"/>
    <mergeCell ref="A23:B23"/>
    <mergeCell ref="A7:R7"/>
    <mergeCell ref="A15:B15"/>
    <mergeCell ref="A16:B16"/>
    <mergeCell ref="K5:K6"/>
    <mergeCell ref="M5:M6"/>
    <mergeCell ref="O5:O6"/>
    <mergeCell ref="Q5:Q6"/>
    <mergeCell ref="A4:A6"/>
  </mergeCells>
  <pageMargins left="0.7" right="0.7" top="0.75" bottom="0.75" header="0.3" footer="0.3"/>
  <pageSetup paperSize="9" orientation="portrait" r:id="rId1"/>
  <ignoredErrors>
    <ignoredError sqref="Q19:R19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R25"/>
  <sheetViews>
    <sheetView workbookViewId="0">
      <selection activeCell="R25" sqref="R25"/>
    </sheetView>
  </sheetViews>
  <sheetFormatPr defaultRowHeight="15" x14ac:dyDescent="0.25"/>
  <cols>
    <col min="1" max="1" width="4" customWidth="1"/>
    <col min="2" max="2" width="28.42578125" customWidth="1"/>
    <col min="3" max="3" width="8.85546875" customWidth="1"/>
    <col min="4" max="4" width="8.140625" customWidth="1"/>
    <col min="5" max="5" width="14.42578125" customWidth="1"/>
    <col min="6" max="6" width="18" customWidth="1"/>
    <col min="7" max="7" width="9" customWidth="1"/>
    <col min="8" max="8" width="8.140625" customWidth="1"/>
    <col min="9" max="9" width="14.42578125" customWidth="1"/>
    <col min="10" max="10" width="18" customWidth="1"/>
    <col min="11" max="11" width="8.85546875" customWidth="1"/>
    <col min="12" max="12" width="8.140625" customWidth="1"/>
    <col min="13" max="13" width="14.5703125" customWidth="1"/>
    <col min="14" max="14" width="18.140625" customWidth="1"/>
    <col min="15" max="15" width="8.85546875" customWidth="1"/>
    <col min="16" max="16" width="8.140625" customWidth="1"/>
    <col min="17" max="17" width="14.42578125" customWidth="1"/>
    <col min="18" max="18" width="18" customWidth="1"/>
  </cols>
  <sheetData>
    <row r="2" spans="1:18" ht="15.75" x14ac:dyDescent="0.25">
      <c r="A2" s="180" t="s">
        <v>102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 ht="15.75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 ht="15.95" customHeight="1" x14ac:dyDescent="0.25">
      <c r="A4" s="115" t="s">
        <v>3</v>
      </c>
      <c r="B4" s="115" t="s">
        <v>4</v>
      </c>
      <c r="C4" s="174" t="s">
        <v>61</v>
      </c>
      <c r="D4" s="175"/>
      <c r="E4" s="175"/>
      <c r="F4" s="176"/>
      <c r="G4" s="174" t="s">
        <v>7</v>
      </c>
      <c r="H4" s="175"/>
      <c r="I4" s="175"/>
      <c r="J4" s="176"/>
      <c r="K4" s="174" t="s">
        <v>57</v>
      </c>
      <c r="L4" s="175"/>
      <c r="M4" s="175"/>
      <c r="N4" s="176"/>
      <c r="O4" s="174" t="s">
        <v>58</v>
      </c>
      <c r="P4" s="175"/>
      <c r="Q4" s="175"/>
      <c r="R4" s="176"/>
    </row>
    <row r="5" spans="1:18" ht="15.95" customHeight="1" x14ac:dyDescent="0.25">
      <c r="A5" s="115"/>
      <c r="B5" s="115"/>
      <c r="C5" s="115" t="s">
        <v>103</v>
      </c>
      <c r="D5" s="141" t="s">
        <v>105</v>
      </c>
      <c r="E5" s="141" t="s">
        <v>104</v>
      </c>
      <c r="F5" s="141" t="s">
        <v>106</v>
      </c>
      <c r="G5" s="115" t="s">
        <v>103</v>
      </c>
      <c r="H5" s="141" t="s">
        <v>105</v>
      </c>
      <c r="I5" s="141" t="s">
        <v>104</v>
      </c>
      <c r="J5" s="141" t="s">
        <v>106</v>
      </c>
      <c r="K5" s="115" t="s">
        <v>103</v>
      </c>
      <c r="L5" s="141" t="s">
        <v>105</v>
      </c>
      <c r="M5" s="141" t="s">
        <v>104</v>
      </c>
      <c r="N5" s="141" t="s">
        <v>106</v>
      </c>
      <c r="O5" s="115" t="s">
        <v>103</v>
      </c>
      <c r="P5" s="141" t="s">
        <v>105</v>
      </c>
      <c r="Q5" s="141" t="s">
        <v>104</v>
      </c>
      <c r="R5" s="141" t="s">
        <v>106</v>
      </c>
    </row>
    <row r="6" spans="1:18" ht="42.75" customHeight="1" x14ac:dyDescent="0.25">
      <c r="A6" s="115"/>
      <c r="B6" s="115"/>
      <c r="C6" s="115"/>
      <c r="D6" s="142"/>
      <c r="E6" s="142"/>
      <c r="F6" s="142"/>
      <c r="G6" s="115"/>
      <c r="H6" s="142"/>
      <c r="I6" s="142"/>
      <c r="J6" s="142"/>
      <c r="K6" s="115"/>
      <c r="L6" s="142"/>
      <c r="M6" s="142"/>
      <c r="N6" s="142"/>
      <c r="O6" s="115"/>
      <c r="P6" s="142"/>
      <c r="Q6" s="142"/>
      <c r="R6" s="142"/>
    </row>
    <row r="7" spans="1:18" ht="15.95" customHeight="1" x14ac:dyDescent="0.25">
      <c r="A7" s="152" t="s">
        <v>11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4"/>
      <c r="R7" s="99"/>
    </row>
    <row r="8" spans="1:18" ht="15.95" customHeight="1" x14ac:dyDescent="0.25">
      <c r="A8" s="44" t="s">
        <v>12</v>
      </c>
      <c r="B8" s="47" t="s">
        <v>13</v>
      </c>
      <c r="C8" s="12">
        <v>1321</v>
      </c>
      <c r="D8" s="96">
        <v>327</v>
      </c>
      <c r="E8" s="12">
        <f>1321/12</f>
        <v>110.08333333333333</v>
      </c>
      <c r="F8" s="12">
        <f>E8-1066/12</f>
        <v>21.25</v>
      </c>
      <c r="G8" s="12">
        <v>403</v>
      </c>
      <c r="H8" s="12">
        <v>71</v>
      </c>
      <c r="I8" s="12">
        <v>403</v>
      </c>
      <c r="J8" s="12">
        <f>I8-407</f>
        <v>-4</v>
      </c>
      <c r="K8" s="12">
        <f>840+78</f>
        <v>918</v>
      </c>
      <c r="L8" s="12">
        <f>222+34</f>
        <v>256</v>
      </c>
      <c r="M8" s="58">
        <f>K8/11</f>
        <v>83.454545454545453</v>
      </c>
      <c r="N8" s="58">
        <f>M8-(609+50)/11</f>
        <v>23.545454545454547</v>
      </c>
      <c r="O8" s="58" t="s">
        <v>15</v>
      </c>
      <c r="P8" s="58" t="s">
        <v>15</v>
      </c>
      <c r="Q8" s="58" t="s">
        <v>15</v>
      </c>
      <c r="R8" s="58" t="s">
        <v>15</v>
      </c>
    </row>
    <row r="9" spans="1:18" ht="15.95" customHeight="1" x14ac:dyDescent="0.25">
      <c r="A9" s="44" t="s">
        <v>16</v>
      </c>
      <c r="B9" s="47" t="s">
        <v>17</v>
      </c>
      <c r="C9" s="12">
        <v>1530</v>
      </c>
      <c r="D9" s="96">
        <v>396</v>
      </c>
      <c r="E9" s="12">
        <f>C9/26</f>
        <v>58.846153846153847</v>
      </c>
      <c r="F9" s="12">
        <f>E9-1056/26</f>
        <v>18.230769230769234</v>
      </c>
      <c r="G9" s="12">
        <v>299</v>
      </c>
      <c r="H9" s="12">
        <v>106</v>
      </c>
      <c r="I9" s="12">
        <v>299</v>
      </c>
      <c r="J9" s="12">
        <f>I9-165</f>
        <v>134</v>
      </c>
      <c r="K9" s="12">
        <v>78</v>
      </c>
      <c r="L9" s="12">
        <v>32</v>
      </c>
      <c r="M9" s="58">
        <f>K9/1</f>
        <v>78</v>
      </c>
      <c r="N9" s="58">
        <f>M9-61</f>
        <v>17</v>
      </c>
      <c r="O9" s="58">
        <v>1153</v>
      </c>
      <c r="P9" s="58">
        <v>258</v>
      </c>
      <c r="Q9" s="58">
        <f>O9/24</f>
        <v>48.041666666666664</v>
      </c>
      <c r="R9" s="58">
        <f>Q9-830/24</f>
        <v>13.458333333333329</v>
      </c>
    </row>
    <row r="10" spans="1:18" ht="15.95" customHeight="1" x14ac:dyDescent="0.25">
      <c r="A10" s="44" t="s">
        <v>18</v>
      </c>
      <c r="B10" s="47" t="s">
        <v>19</v>
      </c>
      <c r="C10" s="12">
        <v>1567</v>
      </c>
      <c r="D10" s="96">
        <v>524</v>
      </c>
      <c r="E10" s="12">
        <f>C10/20</f>
        <v>78.349999999999994</v>
      </c>
      <c r="F10" s="12">
        <f>E10-1304/20</f>
        <v>13.149999999999991</v>
      </c>
      <c r="G10" s="12">
        <v>486</v>
      </c>
      <c r="H10" s="12">
        <v>50</v>
      </c>
      <c r="I10" s="12">
        <v>486</v>
      </c>
      <c r="J10" s="12">
        <f>I10-316</f>
        <v>170</v>
      </c>
      <c r="K10" s="12">
        <v>89</v>
      </c>
      <c r="L10" s="12">
        <v>42</v>
      </c>
      <c r="M10" s="58">
        <f>K10/1</f>
        <v>89</v>
      </c>
      <c r="N10" s="58">
        <f>M10-81</f>
        <v>8</v>
      </c>
      <c r="O10" s="58">
        <v>992</v>
      </c>
      <c r="P10" s="58">
        <v>432</v>
      </c>
      <c r="Q10" s="58">
        <f>O10/18</f>
        <v>55.111111111111114</v>
      </c>
      <c r="R10" s="58">
        <f>Q10-907/19</f>
        <v>7.3742690058479567</v>
      </c>
    </row>
    <row r="11" spans="1:18" ht="15.95" customHeight="1" x14ac:dyDescent="0.25">
      <c r="A11" s="44" t="s">
        <v>20</v>
      </c>
      <c r="B11" s="47" t="s">
        <v>21</v>
      </c>
      <c r="C11" s="12">
        <v>90</v>
      </c>
      <c r="D11" s="96">
        <v>47</v>
      </c>
      <c r="E11" s="12">
        <f>C11/3</f>
        <v>30</v>
      </c>
      <c r="F11" s="12">
        <f>E11-95/3</f>
        <v>-1.6666666666666679</v>
      </c>
      <c r="G11" s="12">
        <v>56</v>
      </c>
      <c r="H11" s="12">
        <v>25</v>
      </c>
      <c r="I11" s="12">
        <v>56</v>
      </c>
      <c r="J11" s="12">
        <f>I11-49</f>
        <v>7</v>
      </c>
      <c r="K11" s="12">
        <v>34</v>
      </c>
      <c r="L11" s="12">
        <v>22</v>
      </c>
      <c r="M11" s="58">
        <f>K11/2</f>
        <v>17</v>
      </c>
      <c r="N11" s="58">
        <f>M11-81/2</f>
        <v>-23.5</v>
      </c>
      <c r="O11" s="58" t="s">
        <v>15</v>
      </c>
      <c r="P11" s="58" t="s">
        <v>15</v>
      </c>
      <c r="Q11" s="58" t="s">
        <v>15</v>
      </c>
      <c r="R11" s="58" t="s">
        <v>15</v>
      </c>
    </row>
    <row r="12" spans="1:18" ht="15.95" customHeight="1" x14ac:dyDescent="0.25">
      <c r="A12" s="44" t="s">
        <v>22</v>
      </c>
      <c r="B12" s="47" t="s">
        <v>23</v>
      </c>
      <c r="C12" s="12">
        <v>198</v>
      </c>
      <c r="D12" s="97">
        <v>99</v>
      </c>
      <c r="E12" s="12">
        <f>C12/3</f>
        <v>66</v>
      </c>
      <c r="F12" s="12">
        <f>E12-219/3</f>
        <v>-7</v>
      </c>
      <c r="G12" s="12">
        <v>198</v>
      </c>
      <c r="H12" s="12">
        <v>99</v>
      </c>
      <c r="I12" s="12">
        <v>198</v>
      </c>
      <c r="J12" s="12">
        <f>I12-219</f>
        <v>-21</v>
      </c>
      <c r="K12" s="12" t="s">
        <v>15</v>
      </c>
      <c r="L12" s="12" t="s">
        <v>15</v>
      </c>
      <c r="M12" s="58" t="s">
        <v>15</v>
      </c>
      <c r="N12" s="58" t="s">
        <v>15</v>
      </c>
      <c r="O12" s="58" t="s">
        <v>15</v>
      </c>
      <c r="P12" s="58" t="s">
        <v>15</v>
      </c>
      <c r="Q12" s="58" t="s">
        <v>15</v>
      </c>
      <c r="R12" s="58" t="s">
        <v>15</v>
      </c>
    </row>
    <row r="13" spans="1:18" ht="15.95" customHeight="1" x14ac:dyDescent="0.25">
      <c r="A13" s="44" t="s">
        <v>24</v>
      </c>
      <c r="B13" s="47" t="s">
        <v>25</v>
      </c>
      <c r="C13" s="12">
        <v>759</v>
      </c>
      <c r="D13" s="96">
        <v>228</v>
      </c>
      <c r="E13" s="12">
        <f>C13/15</f>
        <v>50.6</v>
      </c>
      <c r="F13" s="12">
        <f>E13-616/15</f>
        <v>9.5333333333333314</v>
      </c>
      <c r="G13" s="12">
        <v>300</v>
      </c>
      <c r="H13" s="12">
        <v>44</v>
      </c>
      <c r="I13" s="12">
        <v>300</v>
      </c>
      <c r="J13" s="12">
        <f>I13-122</f>
        <v>178</v>
      </c>
      <c r="K13" s="12">
        <v>32</v>
      </c>
      <c r="L13" s="12">
        <v>4</v>
      </c>
      <c r="M13" s="58">
        <f>K13/1</f>
        <v>32</v>
      </c>
      <c r="N13" s="58">
        <f>M13-17</f>
        <v>15</v>
      </c>
      <c r="O13" s="58">
        <v>427</v>
      </c>
      <c r="P13" s="58">
        <v>180</v>
      </c>
      <c r="Q13" s="58">
        <f>O13/13</f>
        <v>32.846153846153847</v>
      </c>
      <c r="R13" s="58">
        <f>Q13-477/18</f>
        <v>6.3461538461538467</v>
      </c>
    </row>
    <row r="14" spans="1:18" ht="15.95" customHeight="1" x14ac:dyDescent="0.25">
      <c r="A14" s="44" t="s">
        <v>26</v>
      </c>
      <c r="B14" s="47" t="s">
        <v>27</v>
      </c>
      <c r="C14" s="12">
        <v>1407</v>
      </c>
      <c r="D14" s="96">
        <v>385</v>
      </c>
      <c r="E14" s="12">
        <f>C14/22</f>
        <v>63.954545454545453</v>
      </c>
      <c r="F14" s="12">
        <f>E14-1222/22</f>
        <v>8.4090909090909065</v>
      </c>
      <c r="G14" s="12">
        <v>548</v>
      </c>
      <c r="H14" s="12">
        <v>61</v>
      </c>
      <c r="I14" s="12">
        <v>548</v>
      </c>
      <c r="J14" s="12">
        <f>I14-455</f>
        <v>93</v>
      </c>
      <c r="K14" s="12" t="s">
        <v>15</v>
      </c>
      <c r="L14" s="12" t="s">
        <v>15</v>
      </c>
      <c r="M14" s="58" t="s">
        <v>15</v>
      </c>
      <c r="N14" s="58" t="s">
        <v>15</v>
      </c>
      <c r="O14" s="58">
        <v>859</v>
      </c>
      <c r="P14" s="58">
        <v>324</v>
      </c>
      <c r="Q14" s="58">
        <f>O14/21</f>
        <v>40.904761904761905</v>
      </c>
      <c r="R14" s="58">
        <f>Q14-767/21</f>
        <v>4.3809523809523796</v>
      </c>
    </row>
    <row r="15" spans="1:18" ht="15.95" customHeight="1" x14ac:dyDescent="0.25">
      <c r="A15" s="170" t="s">
        <v>34</v>
      </c>
      <c r="B15" s="170"/>
      <c r="C15" s="22">
        <f t="shared" ref="C15:R15" si="0">SUM(C8:C14)</f>
        <v>6872</v>
      </c>
      <c r="D15" s="22">
        <f t="shared" si="0"/>
        <v>2006</v>
      </c>
      <c r="E15" s="59">
        <f t="shared" si="0"/>
        <v>457.83403263403267</v>
      </c>
      <c r="F15" s="59">
        <f t="shared" si="0"/>
        <v>61.906526806526799</v>
      </c>
      <c r="G15" s="22">
        <f t="shared" si="0"/>
        <v>2290</v>
      </c>
      <c r="H15" s="22">
        <f t="shared" si="0"/>
        <v>456</v>
      </c>
      <c r="I15" s="22">
        <f t="shared" si="0"/>
        <v>2290</v>
      </c>
      <c r="J15" s="22">
        <f t="shared" si="0"/>
        <v>557</v>
      </c>
      <c r="K15" s="22">
        <f t="shared" si="0"/>
        <v>1151</v>
      </c>
      <c r="L15" s="22">
        <f t="shared" si="0"/>
        <v>356</v>
      </c>
      <c r="M15" s="22">
        <f t="shared" si="0"/>
        <v>299.45454545454544</v>
      </c>
      <c r="N15" s="22">
        <f t="shared" si="0"/>
        <v>40.045454545454547</v>
      </c>
      <c r="O15" s="22">
        <f t="shared" si="0"/>
        <v>3431</v>
      </c>
      <c r="P15" s="22">
        <f t="shared" si="0"/>
        <v>1194</v>
      </c>
      <c r="Q15" s="22">
        <f t="shared" si="0"/>
        <v>176.90369352869351</v>
      </c>
      <c r="R15" s="22">
        <f t="shared" si="0"/>
        <v>31.559708566287512</v>
      </c>
    </row>
    <row r="16" spans="1:18" ht="15.95" customHeight="1" x14ac:dyDescent="0.25">
      <c r="A16" s="170" t="s">
        <v>36</v>
      </c>
      <c r="B16" s="170"/>
      <c r="C16" s="22">
        <f t="shared" ref="C16:J16" si="1">C15/7</f>
        <v>981.71428571428567</v>
      </c>
      <c r="D16" s="22">
        <f t="shared" si="1"/>
        <v>286.57142857142856</v>
      </c>
      <c r="E16" s="59">
        <f t="shared" si="1"/>
        <v>65.40486180486181</v>
      </c>
      <c r="F16" s="59">
        <f t="shared" si="1"/>
        <v>8.8437895437895424</v>
      </c>
      <c r="G16" s="22">
        <f t="shared" si="1"/>
        <v>327.14285714285717</v>
      </c>
      <c r="H16" s="22">
        <f t="shared" si="1"/>
        <v>65.142857142857139</v>
      </c>
      <c r="I16" s="22">
        <f t="shared" si="1"/>
        <v>327.14285714285717</v>
      </c>
      <c r="J16" s="22">
        <f t="shared" si="1"/>
        <v>79.571428571428569</v>
      </c>
      <c r="K16" s="22">
        <f>K15/5</f>
        <v>230.2</v>
      </c>
      <c r="L16" s="22">
        <f>L15/5</f>
        <v>71.2</v>
      </c>
      <c r="M16" s="22">
        <f>M15/5</f>
        <v>59.890909090909091</v>
      </c>
      <c r="N16" s="22">
        <f>N15/5</f>
        <v>8.0090909090909097</v>
      </c>
      <c r="O16" s="22">
        <f>O15/4</f>
        <v>857.75</v>
      </c>
      <c r="P16" s="22">
        <f>P15/4</f>
        <v>298.5</v>
      </c>
      <c r="Q16" s="22">
        <f>Q15/4</f>
        <v>44.225923382173377</v>
      </c>
      <c r="R16" s="22">
        <f>R15/4</f>
        <v>7.8899271415718779</v>
      </c>
    </row>
    <row r="17" spans="1:18" ht="15.95" customHeight="1" x14ac:dyDescent="0.25">
      <c r="A17" s="152" t="s">
        <v>28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4"/>
      <c r="R17" s="99"/>
    </row>
    <row r="18" spans="1:18" ht="15.95" customHeight="1" x14ac:dyDescent="0.25">
      <c r="A18" s="44" t="s">
        <v>12</v>
      </c>
      <c r="B18" s="47" t="s">
        <v>29</v>
      </c>
      <c r="C18" s="12">
        <v>1290</v>
      </c>
      <c r="D18" s="96">
        <v>520</v>
      </c>
      <c r="E18" s="12">
        <f>C18/26</f>
        <v>49.615384615384613</v>
      </c>
      <c r="F18" s="12">
        <f>E18-1351/25</f>
        <v>-4.4246153846153859</v>
      </c>
      <c r="G18" s="12">
        <v>249</v>
      </c>
      <c r="H18" s="12">
        <v>102</v>
      </c>
      <c r="I18" s="12">
        <v>249</v>
      </c>
      <c r="J18" s="12">
        <f>I18-244</f>
        <v>5</v>
      </c>
      <c r="K18" s="12">
        <v>38</v>
      </c>
      <c r="L18" s="12">
        <v>20</v>
      </c>
      <c r="M18" s="58">
        <f>K18/1</f>
        <v>38</v>
      </c>
      <c r="N18" s="58">
        <f>M18-37</f>
        <v>1</v>
      </c>
      <c r="O18" s="58">
        <v>1003</v>
      </c>
      <c r="P18" s="58">
        <v>398</v>
      </c>
      <c r="Q18" s="58">
        <f>O18/23</f>
        <v>43.608695652173914</v>
      </c>
      <c r="R18" s="58">
        <f>Q18-1070/23</f>
        <v>-2.9130434782608674</v>
      </c>
    </row>
    <row r="19" spans="1:18" ht="15.95" customHeight="1" x14ac:dyDescent="0.25">
      <c r="A19" s="44" t="s">
        <v>16</v>
      </c>
      <c r="B19" s="47" t="s">
        <v>30</v>
      </c>
      <c r="C19" s="12">
        <v>506</v>
      </c>
      <c r="D19" s="96">
        <v>45</v>
      </c>
      <c r="E19" s="12">
        <f>C19/9</f>
        <v>56.222222222222221</v>
      </c>
      <c r="F19" s="12">
        <f>E19-509/9</f>
        <v>-0.3333333333333357</v>
      </c>
      <c r="G19" s="12">
        <v>130</v>
      </c>
      <c r="H19" s="12">
        <v>22</v>
      </c>
      <c r="I19" s="12">
        <v>130</v>
      </c>
      <c r="J19" s="12">
        <f>I19-146</f>
        <v>-16</v>
      </c>
      <c r="K19" s="12" t="s">
        <v>15</v>
      </c>
      <c r="L19" s="12" t="s">
        <v>15</v>
      </c>
      <c r="M19" s="58" t="s">
        <v>15</v>
      </c>
      <c r="N19" s="58" t="s">
        <v>15</v>
      </c>
      <c r="O19" s="58">
        <v>376</v>
      </c>
      <c r="P19" s="58">
        <v>23</v>
      </c>
      <c r="Q19" s="58">
        <f>O19/8</f>
        <v>47</v>
      </c>
      <c r="R19" s="58">
        <f>Q19-363/8</f>
        <v>1.625</v>
      </c>
    </row>
    <row r="20" spans="1:18" ht="15.95" customHeight="1" x14ac:dyDescent="0.25">
      <c r="A20" s="44" t="s">
        <v>18</v>
      </c>
      <c r="B20" s="47" t="s">
        <v>31</v>
      </c>
      <c r="C20" s="12">
        <v>608</v>
      </c>
      <c r="D20" s="96">
        <v>369</v>
      </c>
      <c r="E20" s="12">
        <f>C20/24</f>
        <v>25.333333333333332</v>
      </c>
      <c r="F20" s="12">
        <f>E20-671/24</f>
        <v>-2.625</v>
      </c>
      <c r="G20" s="12">
        <v>121</v>
      </c>
      <c r="H20" s="12">
        <v>50</v>
      </c>
      <c r="I20" s="12">
        <v>121</v>
      </c>
      <c r="J20" s="12">
        <f>I20-160</f>
        <v>-39</v>
      </c>
      <c r="K20" s="12" t="s">
        <v>15</v>
      </c>
      <c r="L20" s="12" t="s">
        <v>15</v>
      </c>
      <c r="M20" s="58" t="s">
        <v>15</v>
      </c>
      <c r="N20" s="58" t="s">
        <v>15</v>
      </c>
      <c r="O20" s="58">
        <v>487</v>
      </c>
      <c r="P20" s="58">
        <v>319</v>
      </c>
      <c r="Q20" s="58">
        <f>O20/23</f>
        <v>21.173913043478262</v>
      </c>
      <c r="R20" s="58">
        <f>Q20-511/24</f>
        <v>-0.11775362318840621</v>
      </c>
    </row>
    <row r="21" spans="1:18" ht="15.95" customHeight="1" x14ac:dyDescent="0.25">
      <c r="A21" s="44" t="s">
        <v>20</v>
      </c>
      <c r="B21" s="47" t="s">
        <v>32</v>
      </c>
      <c r="C21" s="12">
        <v>1134</v>
      </c>
      <c r="D21" s="96">
        <v>420</v>
      </c>
      <c r="E21" s="12">
        <f>C21/28</f>
        <v>40.5</v>
      </c>
      <c r="F21" s="12">
        <f>E21-996/28</f>
        <v>4.9285714285714306</v>
      </c>
      <c r="G21" s="12">
        <v>240</v>
      </c>
      <c r="H21" s="12">
        <v>76</v>
      </c>
      <c r="I21" s="12">
        <v>240</v>
      </c>
      <c r="J21" s="12">
        <f>I21-200</f>
        <v>40</v>
      </c>
      <c r="K21" s="12">
        <v>119</v>
      </c>
      <c r="L21" s="12">
        <v>72</v>
      </c>
      <c r="M21" s="58">
        <f>K21/2</f>
        <v>59.5</v>
      </c>
      <c r="N21" s="58">
        <f>M21-107/2</f>
        <v>6</v>
      </c>
      <c r="O21" s="58">
        <v>775</v>
      </c>
      <c r="P21" s="58">
        <v>272</v>
      </c>
      <c r="Q21" s="58">
        <f>O21/24</f>
        <v>32.291666666666664</v>
      </c>
      <c r="R21" s="58">
        <f>Q21-689/25</f>
        <v>4.7316666666666656</v>
      </c>
    </row>
    <row r="22" spans="1:18" ht="15.95" customHeight="1" x14ac:dyDescent="0.25">
      <c r="A22" s="170" t="s">
        <v>34</v>
      </c>
      <c r="B22" s="170"/>
      <c r="C22" s="22">
        <f t="shared" ref="C22:R22" si="2">SUM(C18:C21)</f>
        <v>3538</v>
      </c>
      <c r="D22" s="22">
        <f t="shared" si="2"/>
        <v>1354</v>
      </c>
      <c r="E22" s="22">
        <f t="shared" si="2"/>
        <v>171.67094017094018</v>
      </c>
      <c r="F22" s="22">
        <f t="shared" si="2"/>
        <v>-2.454377289377291</v>
      </c>
      <c r="G22" s="22">
        <f t="shared" si="2"/>
        <v>740</v>
      </c>
      <c r="H22" s="22">
        <f t="shared" si="2"/>
        <v>250</v>
      </c>
      <c r="I22" s="22">
        <f t="shared" si="2"/>
        <v>740</v>
      </c>
      <c r="J22" s="22">
        <f t="shared" si="2"/>
        <v>-10</v>
      </c>
      <c r="K22" s="22">
        <f t="shared" si="2"/>
        <v>157</v>
      </c>
      <c r="L22" s="22">
        <f t="shared" si="2"/>
        <v>92</v>
      </c>
      <c r="M22" s="22">
        <f t="shared" si="2"/>
        <v>97.5</v>
      </c>
      <c r="N22" s="22">
        <f t="shared" si="2"/>
        <v>7</v>
      </c>
      <c r="O22" s="22">
        <f t="shared" si="2"/>
        <v>2641</v>
      </c>
      <c r="P22" s="22">
        <f t="shared" si="2"/>
        <v>1012</v>
      </c>
      <c r="Q22" s="22">
        <f t="shared" si="2"/>
        <v>144.07427536231884</v>
      </c>
      <c r="R22" s="22">
        <f t="shared" si="2"/>
        <v>3.325869565217392</v>
      </c>
    </row>
    <row r="23" spans="1:18" ht="15.95" customHeight="1" x14ac:dyDescent="0.25">
      <c r="A23" s="170" t="s">
        <v>36</v>
      </c>
      <c r="B23" s="170"/>
      <c r="C23" s="22">
        <f t="shared" ref="C23:J23" si="3">C22/4</f>
        <v>884.5</v>
      </c>
      <c r="D23" s="22">
        <f t="shared" si="3"/>
        <v>338.5</v>
      </c>
      <c r="E23" s="22">
        <f t="shared" si="3"/>
        <v>42.917735042735046</v>
      </c>
      <c r="F23" s="22">
        <f t="shared" si="3"/>
        <v>-0.61359432234432276</v>
      </c>
      <c r="G23" s="22">
        <f t="shared" si="3"/>
        <v>185</v>
      </c>
      <c r="H23" s="22">
        <f t="shared" si="3"/>
        <v>62.5</v>
      </c>
      <c r="I23" s="22">
        <f t="shared" si="3"/>
        <v>185</v>
      </c>
      <c r="J23" s="22">
        <f t="shared" si="3"/>
        <v>-2.5</v>
      </c>
      <c r="K23" s="22">
        <f>K22/2</f>
        <v>78.5</v>
      </c>
      <c r="L23" s="22">
        <f>L22/2</f>
        <v>46</v>
      </c>
      <c r="M23" s="22">
        <f>M22/2</f>
        <v>48.75</v>
      </c>
      <c r="N23" s="22">
        <f>N22/2</f>
        <v>3.5</v>
      </c>
      <c r="O23" s="22">
        <f>O22/4</f>
        <v>660.25</v>
      </c>
      <c r="P23" s="22">
        <f>P22/4</f>
        <v>253</v>
      </c>
      <c r="Q23" s="22">
        <f>Q22/4</f>
        <v>36.018568840579711</v>
      </c>
      <c r="R23" s="22">
        <f>R22/4</f>
        <v>0.83146739130434799</v>
      </c>
    </row>
    <row r="24" spans="1:18" ht="30" customHeight="1" x14ac:dyDescent="0.25">
      <c r="A24" s="171" t="s">
        <v>33</v>
      </c>
      <c r="B24" s="171"/>
      <c r="C24" s="26">
        <f t="shared" ref="C24:R24" si="4">SUM(C15,C22)</f>
        <v>10410</v>
      </c>
      <c r="D24" s="26">
        <f t="shared" si="4"/>
        <v>3360</v>
      </c>
      <c r="E24" s="26">
        <f t="shared" si="4"/>
        <v>629.50497280497279</v>
      </c>
      <c r="F24" s="26">
        <f t="shared" si="4"/>
        <v>59.452149517149508</v>
      </c>
      <c r="G24" s="26">
        <f t="shared" si="4"/>
        <v>3030</v>
      </c>
      <c r="H24" s="26">
        <f t="shared" si="4"/>
        <v>706</v>
      </c>
      <c r="I24" s="34">
        <f t="shared" si="4"/>
        <v>3030</v>
      </c>
      <c r="J24" s="34">
        <f t="shared" si="4"/>
        <v>547</v>
      </c>
      <c r="K24" s="34">
        <f t="shared" si="4"/>
        <v>1308</v>
      </c>
      <c r="L24" s="34">
        <f t="shared" si="4"/>
        <v>448</v>
      </c>
      <c r="M24" s="34">
        <f t="shared" si="4"/>
        <v>396.95454545454544</v>
      </c>
      <c r="N24" s="34">
        <f t="shared" si="4"/>
        <v>47.045454545454547</v>
      </c>
      <c r="O24" s="34">
        <f t="shared" si="4"/>
        <v>6072</v>
      </c>
      <c r="P24" s="34">
        <f t="shared" si="4"/>
        <v>2206</v>
      </c>
      <c r="Q24" s="34">
        <f t="shared" si="4"/>
        <v>320.97796889101232</v>
      </c>
      <c r="R24" s="34">
        <f t="shared" si="4"/>
        <v>34.8855781315049</v>
      </c>
    </row>
    <row r="25" spans="1:18" ht="30" customHeight="1" x14ac:dyDescent="0.25">
      <c r="A25" s="171" t="s">
        <v>35</v>
      </c>
      <c r="B25" s="171"/>
      <c r="C25" s="26">
        <f t="shared" ref="C25:J25" si="5">C24/11</f>
        <v>946.36363636363637</v>
      </c>
      <c r="D25" s="26">
        <f t="shared" si="5"/>
        <v>305.45454545454544</v>
      </c>
      <c r="E25" s="26">
        <f t="shared" si="5"/>
        <v>57.227724800452073</v>
      </c>
      <c r="F25" s="26">
        <f t="shared" si="5"/>
        <v>5.4047408651954099</v>
      </c>
      <c r="G25" s="26">
        <f t="shared" si="5"/>
        <v>275.45454545454544</v>
      </c>
      <c r="H25" s="26">
        <f t="shared" si="5"/>
        <v>64.181818181818187</v>
      </c>
      <c r="I25" s="26">
        <f t="shared" si="5"/>
        <v>275.45454545454544</v>
      </c>
      <c r="J25" s="26">
        <f t="shared" si="5"/>
        <v>49.727272727272727</v>
      </c>
      <c r="K25" s="34">
        <f>K24/7</f>
        <v>186.85714285714286</v>
      </c>
      <c r="L25" s="34">
        <f>L24/7</f>
        <v>64</v>
      </c>
      <c r="M25" s="34">
        <f>M24/7</f>
        <v>56.707792207792203</v>
      </c>
      <c r="N25" s="34">
        <f>N24/7</f>
        <v>6.720779220779221</v>
      </c>
      <c r="O25" s="34">
        <f>O24/8</f>
        <v>759</v>
      </c>
      <c r="P25" s="34">
        <f>P24/8</f>
        <v>275.75</v>
      </c>
      <c r="Q25" s="34">
        <f>Q24/8</f>
        <v>40.122246111376541</v>
      </c>
      <c r="R25" s="34">
        <f>R24/8</f>
        <v>4.3606972664381125</v>
      </c>
    </row>
  </sheetData>
  <mergeCells count="31">
    <mergeCell ref="A24:B24"/>
    <mergeCell ref="A25:B25"/>
    <mergeCell ref="A7:Q7"/>
    <mergeCell ref="A15:B15"/>
    <mergeCell ref="A16:B16"/>
    <mergeCell ref="A17:Q17"/>
    <mergeCell ref="A22:B22"/>
    <mergeCell ref="A23:B23"/>
    <mergeCell ref="A2:R2"/>
    <mergeCell ref="D5:D6"/>
    <mergeCell ref="H5:H6"/>
    <mergeCell ref="L5:L6"/>
    <mergeCell ref="P5:P6"/>
    <mergeCell ref="M5:M6"/>
    <mergeCell ref="O5:O6"/>
    <mergeCell ref="Q5:Q6"/>
    <mergeCell ref="G5:G6"/>
    <mergeCell ref="I5:I6"/>
    <mergeCell ref="K5:K6"/>
    <mergeCell ref="A4:A6"/>
    <mergeCell ref="B4:B6"/>
    <mergeCell ref="C5:C6"/>
    <mergeCell ref="E5:E6"/>
    <mergeCell ref="F5:F6"/>
    <mergeCell ref="C4:F4"/>
    <mergeCell ref="G4:J4"/>
    <mergeCell ref="K4:N4"/>
    <mergeCell ref="O4:R4"/>
    <mergeCell ref="J5:J6"/>
    <mergeCell ref="N5:N6"/>
    <mergeCell ref="R5:R6"/>
  </mergeCells>
  <pageMargins left="0.7" right="0.7" top="0.75" bottom="0.75" header="0.3" footer="0.3"/>
  <pageSetup paperSize="9" orientation="portrait" r:id="rId1"/>
  <ignoredErrors>
    <ignoredError sqref="Q19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4"/>
  <sheetViews>
    <sheetView tabSelected="1" workbookViewId="0">
      <selection activeCell="P25" sqref="P25"/>
    </sheetView>
  </sheetViews>
  <sheetFormatPr defaultRowHeight="15" x14ac:dyDescent="0.25"/>
  <cols>
    <col min="1" max="1" width="5.7109375" customWidth="1"/>
    <col min="2" max="2" width="27.140625" customWidth="1"/>
    <col min="3" max="3" width="12.140625" customWidth="1"/>
    <col min="4" max="4" width="8" customWidth="1"/>
    <col min="5" max="5" width="9" customWidth="1"/>
    <col min="6" max="6" width="8.42578125" customWidth="1"/>
    <col min="7" max="7" width="12.42578125" customWidth="1"/>
    <col min="8" max="8" width="8.7109375" customWidth="1"/>
    <col min="9" max="9" width="7.28515625" customWidth="1"/>
    <col min="10" max="10" width="8.28515625" customWidth="1"/>
    <col min="11" max="11" width="12.140625" customWidth="1"/>
    <col min="12" max="12" width="8.42578125" customWidth="1"/>
    <col min="13" max="13" width="7.5703125" customWidth="1"/>
    <col min="14" max="14" width="7.28515625" customWidth="1"/>
    <col min="15" max="15" width="12" customWidth="1"/>
    <col min="16" max="16" width="9.140625" customWidth="1"/>
    <col min="17" max="17" width="7.85546875" customWidth="1"/>
    <col min="18" max="18" width="7.7109375" customWidth="1"/>
  </cols>
  <sheetData>
    <row r="2" spans="1:18" ht="15.75" x14ac:dyDescent="0.25">
      <c r="A2" s="136" t="s">
        <v>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ht="15.75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 ht="15.95" customHeight="1" x14ac:dyDescent="0.25">
      <c r="A4" s="115" t="s">
        <v>3</v>
      </c>
      <c r="B4" s="115" t="s">
        <v>4</v>
      </c>
      <c r="C4" s="139" t="s">
        <v>84</v>
      </c>
      <c r="D4" s="140"/>
      <c r="E4" s="140"/>
      <c r="F4" s="155"/>
      <c r="G4" s="139" t="s">
        <v>87</v>
      </c>
      <c r="H4" s="140"/>
      <c r="I4" s="140"/>
      <c r="J4" s="155"/>
      <c r="K4" s="139" t="s">
        <v>85</v>
      </c>
      <c r="L4" s="140"/>
      <c r="M4" s="140"/>
      <c r="N4" s="155"/>
      <c r="O4" s="139" t="s">
        <v>86</v>
      </c>
      <c r="P4" s="140"/>
      <c r="Q4" s="140"/>
      <c r="R4" s="155"/>
    </row>
    <row r="5" spans="1:18" ht="31.5" customHeight="1" x14ac:dyDescent="0.25">
      <c r="A5" s="115"/>
      <c r="B5" s="115"/>
      <c r="C5" s="64" t="s">
        <v>61</v>
      </c>
      <c r="D5" s="64" t="s">
        <v>7</v>
      </c>
      <c r="E5" s="64" t="s">
        <v>57</v>
      </c>
      <c r="F5" s="64" t="s">
        <v>58</v>
      </c>
      <c r="G5" s="64" t="s">
        <v>61</v>
      </c>
      <c r="H5" s="64" t="s">
        <v>7</v>
      </c>
      <c r="I5" s="64" t="s">
        <v>57</v>
      </c>
      <c r="J5" s="64" t="s">
        <v>58</v>
      </c>
      <c r="K5" s="64" t="s">
        <v>61</v>
      </c>
      <c r="L5" s="64" t="s">
        <v>7</v>
      </c>
      <c r="M5" s="64" t="s">
        <v>57</v>
      </c>
      <c r="N5" s="64" t="s">
        <v>58</v>
      </c>
      <c r="O5" s="64" t="s">
        <v>61</v>
      </c>
      <c r="P5" s="64" t="s">
        <v>7</v>
      </c>
      <c r="Q5" s="64" t="s">
        <v>57</v>
      </c>
      <c r="R5" s="64" t="s">
        <v>58</v>
      </c>
    </row>
    <row r="6" spans="1:18" ht="15.95" customHeight="1" x14ac:dyDescent="0.25">
      <c r="A6" s="152" t="s">
        <v>11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4"/>
    </row>
    <row r="7" spans="1:18" ht="15.95" customHeight="1" x14ac:dyDescent="0.25">
      <c r="A7" s="44" t="s">
        <v>12</v>
      </c>
      <c r="B7" s="47" t="s">
        <v>13</v>
      </c>
      <c r="C7" s="12">
        <f>26806</f>
        <v>26806</v>
      </c>
      <c r="D7" s="12">
        <v>8752</v>
      </c>
      <c r="E7" s="12">
        <f>16768+1286</f>
        <v>18054</v>
      </c>
      <c r="F7" s="12" t="s">
        <v>15</v>
      </c>
      <c r="G7" s="65">
        <v>6970</v>
      </c>
      <c r="H7" s="65">
        <v>6970</v>
      </c>
      <c r="I7" s="65">
        <v>0</v>
      </c>
      <c r="J7" s="65" t="s">
        <v>15</v>
      </c>
      <c r="K7" s="65">
        <v>68003</v>
      </c>
      <c r="L7" s="65">
        <v>68003</v>
      </c>
      <c r="M7" s="65">
        <v>0</v>
      </c>
      <c r="N7" s="65" t="s">
        <v>15</v>
      </c>
      <c r="O7" s="65">
        <v>572499</v>
      </c>
      <c r="P7" s="65">
        <v>572499</v>
      </c>
      <c r="Q7" s="65">
        <v>0</v>
      </c>
      <c r="R7" s="65" t="s">
        <v>15</v>
      </c>
    </row>
    <row r="8" spans="1:18" ht="15.95" customHeight="1" x14ac:dyDescent="0.25">
      <c r="A8" s="44" t="s">
        <v>16</v>
      </c>
      <c r="B8" s="47" t="s">
        <v>17</v>
      </c>
      <c r="C8" s="12">
        <v>20183</v>
      </c>
      <c r="D8" s="12">
        <v>10341</v>
      </c>
      <c r="E8" s="12">
        <v>3190</v>
      </c>
      <c r="F8" s="12">
        <v>6652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</row>
    <row r="9" spans="1:18" ht="15.95" customHeight="1" x14ac:dyDescent="0.25">
      <c r="A9" s="44" t="s">
        <v>18</v>
      </c>
      <c r="B9" s="47" t="s">
        <v>19</v>
      </c>
      <c r="C9" s="12">
        <v>56600</v>
      </c>
      <c r="D9" s="12">
        <v>44917</v>
      </c>
      <c r="E9" s="12">
        <v>1895</v>
      </c>
      <c r="F9" s="12">
        <v>9788</v>
      </c>
      <c r="G9" s="65">
        <v>16324</v>
      </c>
      <c r="H9" s="65">
        <v>16324</v>
      </c>
      <c r="I9" s="65">
        <v>0</v>
      </c>
      <c r="J9" s="65">
        <v>0</v>
      </c>
      <c r="K9" s="65">
        <v>16473</v>
      </c>
      <c r="L9" s="65">
        <v>16473</v>
      </c>
      <c r="M9" s="65">
        <v>0</v>
      </c>
      <c r="N9" s="65">
        <v>0</v>
      </c>
      <c r="O9" s="65">
        <v>48701</v>
      </c>
      <c r="P9" s="65">
        <v>48701</v>
      </c>
      <c r="Q9" s="65">
        <v>0</v>
      </c>
      <c r="R9" s="65">
        <v>0</v>
      </c>
    </row>
    <row r="10" spans="1:18" ht="15.95" customHeight="1" x14ac:dyDescent="0.25">
      <c r="A10" s="44" t="s">
        <v>20</v>
      </c>
      <c r="B10" s="47" t="s">
        <v>21</v>
      </c>
      <c r="C10" s="12">
        <v>6371</v>
      </c>
      <c r="D10" s="12">
        <v>3510</v>
      </c>
      <c r="E10" s="12">
        <v>2861</v>
      </c>
      <c r="F10" s="12" t="s">
        <v>15</v>
      </c>
      <c r="G10" s="65">
        <v>0</v>
      </c>
      <c r="H10" s="65">
        <v>0</v>
      </c>
      <c r="I10" s="65">
        <v>0</v>
      </c>
      <c r="J10" s="65" t="s">
        <v>15</v>
      </c>
      <c r="K10" s="65">
        <v>0</v>
      </c>
      <c r="L10" s="65">
        <v>0</v>
      </c>
      <c r="M10" s="65">
        <v>0</v>
      </c>
      <c r="N10" s="65" t="s">
        <v>15</v>
      </c>
      <c r="O10" s="65">
        <v>0</v>
      </c>
      <c r="P10" s="65">
        <v>0</v>
      </c>
      <c r="Q10" s="65">
        <v>0</v>
      </c>
      <c r="R10" s="65" t="s">
        <v>15</v>
      </c>
    </row>
    <row r="11" spans="1:18" ht="15.95" customHeight="1" x14ac:dyDescent="0.25">
      <c r="A11" s="44" t="s">
        <v>22</v>
      </c>
      <c r="B11" s="47" t="s">
        <v>23</v>
      </c>
      <c r="C11" s="12">
        <v>12599</v>
      </c>
      <c r="D11" s="12">
        <v>12599</v>
      </c>
      <c r="E11" s="12" t="s">
        <v>15</v>
      </c>
      <c r="F11" s="12" t="s">
        <v>15</v>
      </c>
      <c r="G11" s="65">
        <v>367</v>
      </c>
      <c r="H11" s="65">
        <v>367</v>
      </c>
      <c r="I11" s="65" t="s">
        <v>15</v>
      </c>
      <c r="J11" s="65" t="s">
        <v>15</v>
      </c>
      <c r="K11" s="65">
        <v>2101</v>
      </c>
      <c r="L11" s="65">
        <v>2101</v>
      </c>
      <c r="M11" s="65" t="s">
        <v>15</v>
      </c>
      <c r="N11" s="65" t="s">
        <v>15</v>
      </c>
      <c r="O11" s="65">
        <v>7860</v>
      </c>
      <c r="P11" s="65">
        <v>7860</v>
      </c>
      <c r="Q11" s="65" t="s">
        <v>15</v>
      </c>
      <c r="R11" s="65" t="s">
        <v>15</v>
      </c>
    </row>
    <row r="12" spans="1:18" ht="15.95" customHeight="1" x14ac:dyDescent="0.25">
      <c r="A12" s="44" t="s">
        <v>24</v>
      </c>
      <c r="B12" s="47" t="s">
        <v>25</v>
      </c>
      <c r="C12" s="12">
        <v>18636</v>
      </c>
      <c r="D12" s="12">
        <v>8874</v>
      </c>
      <c r="E12" s="12">
        <v>1383</v>
      </c>
      <c r="F12" s="12">
        <v>8379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</row>
    <row r="13" spans="1:18" ht="15.95" customHeight="1" x14ac:dyDescent="0.25">
      <c r="A13" s="44" t="s">
        <v>26</v>
      </c>
      <c r="B13" s="47" t="s">
        <v>27</v>
      </c>
      <c r="C13" s="12">
        <v>35136</v>
      </c>
      <c r="D13" s="12">
        <v>10902</v>
      </c>
      <c r="E13" s="12" t="s">
        <v>15</v>
      </c>
      <c r="F13" s="12">
        <v>24234</v>
      </c>
      <c r="G13" s="65">
        <v>803</v>
      </c>
      <c r="H13" s="65">
        <v>803</v>
      </c>
      <c r="I13" s="65" t="s">
        <v>15</v>
      </c>
      <c r="J13" s="65">
        <v>0</v>
      </c>
      <c r="K13" s="65">
        <v>8576</v>
      </c>
      <c r="L13" s="65">
        <v>8576</v>
      </c>
      <c r="M13" s="65">
        <v>0</v>
      </c>
      <c r="N13" s="65">
        <v>0</v>
      </c>
      <c r="O13" s="65">
        <v>74685</v>
      </c>
      <c r="P13" s="65">
        <v>74685</v>
      </c>
      <c r="Q13" s="65">
        <v>0</v>
      </c>
      <c r="R13" s="65">
        <v>0</v>
      </c>
    </row>
    <row r="14" spans="1:18" ht="15.95" customHeight="1" x14ac:dyDescent="0.25">
      <c r="A14" s="170" t="s">
        <v>34</v>
      </c>
      <c r="B14" s="170"/>
      <c r="C14" s="22">
        <f t="shared" ref="C14:H14" si="0">SUM(C7:C13)</f>
        <v>176331</v>
      </c>
      <c r="D14" s="59">
        <f t="shared" si="0"/>
        <v>99895</v>
      </c>
      <c r="E14" s="22">
        <f t="shared" si="0"/>
        <v>27383</v>
      </c>
      <c r="F14" s="22">
        <f t="shared" si="0"/>
        <v>49053</v>
      </c>
      <c r="G14" s="21">
        <f t="shared" si="0"/>
        <v>24464</v>
      </c>
      <c r="H14" s="21">
        <f t="shared" si="0"/>
        <v>24464</v>
      </c>
      <c r="I14" s="21">
        <v>0</v>
      </c>
      <c r="J14" s="21">
        <v>0</v>
      </c>
      <c r="K14" s="21">
        <f>SUM(K7:K13)</f>
        <v>95153</v>
      </c>
      <c r="L14" s="21">
        <f>SUM(L7:L13)</f>
        <v>95153</v>
      </c>
      <c r="M14" s="21">
        <v>0</v>
      </c>
      <c r="N14" s="21">
        <v>0</v>
      </c>
      <c r="O14" s="21">
        <f>SUM(O7:O13)</f>
        <v>703745</v>
      </c>
      <c r="P14" s="21">
        <f>SUM(P7:P13)</f>
        <v>703745</v>
      </c>
      <c r="Q14" s="21">
        <v>0</v>
      </c>
      <c r="R14" s="21">
        <v>0</v>
      </c>
    </row>
    <row r="15" spans="1:18" ht="15.95" customHeight="1" x14ac:dyDescent="0.25">
      <c r="A15" s="170" t="s">
        <v>36</v>
      </c>
      <c r="B15" s="170"/>
      <c r="C15" s="22">
        <f>C14/7</f>
        <v>25190.142857142859</v>
      </c>
      <c r="D15" s="59">
        <f>D14/7</f>
        <v>14270.714285714286</v>
      </c>
      <c r="E15" s="22">
        <f>E14/5</f>
        <v>5476.6</v>
      </c>
      <c r="F15" s="22">
        <f>F14/4</f>
        <v>12263.25</v>
      </c>
      <c r="G15" s="22">
        <f>G14/7</f>
        <v>3494.8571428571427</v>
      </c>
      <c r="H15" s="22">
        <f>H14/7</f>
        <v>3494.8571428571427</v>
      </c>
      <c r="I15" s="22">
        <v>0</v>
      </c>
      <c r="J15" s="22">
        <v>0</v>
      </c>
      <c r="K15" s="22">
        <f>K14/7</f>
        <v>13593.285714285714</v>
      </c>
      <c r="L15" s="22">
        <f>L14/7</f>
        <v>13593.285714285714</v>
      </c>
      <c r="M15" s="22">
        <v>0</v>
      </c>
      <c r="N15" s="22">
        <v>0</v>
      </c>
      <c r="O15" s="22">
        <f>O14/7</f>
        <v>100535</v>
      </c>
      <c r="P15" s="22">
        <f>P14/7</f>
        <v>100535</v>
      </c>
      <c r="Q15" s="22">
        <v>0</v>
      </c>
      <c r="R15" s="22">
        <v>0</v>
      </c>
    </row>
    <row r="16" spans="1:18" ht="15.95" customHeight="1" x14ac:dyDescent="0.25">
      <c r="A16" s="152" t="s">
        <v>28</v>
      </c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4"/>
    </row>
    <row r="17" spans="1:18" ht="15.95" customHeight="1" x14ac:dyDescent="0.25">
      <c r="A17" s="44" t="s">
        <v>12</v>
      </c>
      <c r="B17" s="47" t="s">
        <v>29</v>
      </c>
      <c r="C17" s="12">
        <v>19071</v>
      </c>
      <c r="D17" s="12">
        <v>5507</v>
      </c>
      <c r="E17" s="12">
        <v>1374</v>
      </c>
      <c r="F17" s="12">
        <v>12190</v>
      </c>
      <c r="G17" s="65">
        <v>0</v>
      </c>
      <c r="H17" s="65">
        <v>0</v>
      </c>
      <c r="I17" s="65">
        <v>0</v>
      </c>
      <c r="J17" s="65">
        <v>0</v>
      </c>
      <c r="K17" s="12">
        <v>0</v>
      </c>
      <c r="L17" s="12">
        <v>0</v>
      </c>
      <c r="M17" s="12">
        <v>0</v>
      </c>
      <c r="N17" s="12">
        <v>0</v>
      </c>
      <c r="O17" s="65">
        <v>64181</v>
      </c>
      <c r="P17" s="65">
        <v>64181</v>
      </c>
      <c r="Q17" s="65">
        <v>0</v>
      </c>
      <c r="R17" s="65">
        <v>0</v>
      </c>
    </row>
    <row r="18" spans="1:18" ht="15.95" customHeight="1" x14ac:dyDescent="0.25">
      <c r="A18" s="44" t="s">
        <v>16</v>
      </c>
      <c r="B18" s="47" t="s">
        <v>30</v>
      </c>
      <c r="C18" s="12">
        <v>11231</v>
      </c>
      <c r="D18" s="12">
        <v>7148</v>
      </c>
      <c r="E18" s="12" t="s">
        <v>15</v>
      </c>
      <c r="F18" s="12">
        <v>4083</v>
      </c>
      <c r="G18" s="65">
        <v>0</v>
      </c>
      <c r="H18" s="65">
        <v>0</v>
      </c>
      <c r="I18" s="65" t="s">
        <v>15</v>
      </c>
      <c r="J18" s="65">
        <v>0</v>
      </c>
      <c r="K18" s="12">
        <v>0</v>
      </c>
      <c r="L18" s="12">
        <v>0</v>
      </c>
      <c r="M18" s="12" t="s">
        <v>15</v>
      </c>
      <c r="N18" s="12">
        <v>0</v>
      </c>
      <c r="O18" s="65">
        <v>9945</v>
      </c>
      <c r="P18" s="65">
        <v>9945</v>
      </c>
      <c r="Q18" s="65" t="s">
        <v>15</v>
      </c>
      <c r="R18" s="65">
        <v>0</v>
      </c>
    </row>
    <row r="19" spans="1:18" ht="15.95" customHeight="1" x14ac:dyDescent="0.25">
      <c r="A19" s="44" t="s">
        <v>18</v>
      </c>
      <c r="B19" s="47" t="s">
        <v>31</v>
      </c>
      <c r="C19" s="12">
        <v>40307</v>
      </c>
      <c r="D19" s="12">
        <v>40307</v>
      </c>
      <c r="E19" s="12" t="s">
        <v>15</v>
      </c>
      <c r="F19" s="12">
        <v>0</v>
      </c>
      <c r="G19" s="65">
        <v>1549342</v>
      </c>
      <c r="H19" s="65">
        <v>1549342</v>
      </c>
      <c r="I19" s="65" t="s">
        <v>15</v>
      </c>
      <c r="J19" s="65">
        <v>0</v>
      </c>
      <c r="K19" s="12">
        <v>187545</v>
      </c>
      <c r="L19" s="12">
        <v>187545</v>
      </c>
      <c r="M19" s="12" t="s">
        <v>15</v>
      </c>
      <c r="N19" s="12">
        <v>0</v>
      </c>
      <c r="O19" s="65">
        <v>368359</v>
      </c>
      <c r="P19" s="65">
        <v>368359</v>
      </c>
      <c r="Q19" s="65" t="s">
        <v>15</v>
      </c>
      <c r="R19" s="65">
        <v>0</v>
      </c>
    </row>
    <row r="20" spans="1:18" ht="15.95" customHeight="1" x14ac:dyDescent="0.25">
      <c r="A20" s="44" t="s">
        <v>20</v>
      </c>
      <c r="B20" s="47" t="s">
        <v>32</v>
      </c>
      <c r="C20" s="12">
        <v>33300</v>
      </c>
      <c r="D20" s="12">
        <v>18140</v>
      </c>
      <c r="E20" s="12">
        <v>1914</v>
      </c>
      <c r="F20" s="12">
        <v>13246</v>
      </c>
      <c r="G20" s="65">
        <v>1685</v>
      </c>
      <c r="H20" s="65">
        <v>1685</v>
      </c>
      <c r="I20" s="65">
        <v>0</v>
      </c>
      <c r="J20" s="65">
        <v>0</v>
      </c>
      <c r="K20" s="12">
        <v>12703</v>
      </c>
      <c r="L20" s="12">
        <v>12703</v>
      </c>
      <c r="M20" s="12">
        <v>0</v>
      </c>
      <c r="N20" s="12">
        <v>0</v>
      </c>
      <c r="O20" s="65">
        <v>6274</v>
      </c>
      <c r="P20" s="65">
        <v>6274</v>
      </c>
      <c r="Q20" s="65">
        <v>0</v>
      </c>
      <c r="R20" s="65">
        <v>0</v>
      </c>
    </row>
    <row r="21" spans="1:18" ht="15.95" customHeight="1" x14ac:dyDescent="0.25">
      <c r="A21" s="170" t="s">
        <v>34</v>
      </c>
      <c r="B21" s="170"/>
      <c r="C21" s="22">
        <f t="shared" ref="C21:H21" si="1">SUM(C17:C20)</f>
        <v>103909</v>
      </c>
      <c r="D21" s="22">
        <f t="shared" si="1"/>
        <v>71102</v>
      </c>
      <c r="E21" s="22">
        <f t="shared" si="1"/>
        <v>3288</v>
      </c>
      <c r="F21" s="22">
        <f t="shared" si="1"/>
        <v>29519</v>
      </c>
      <c r="G21" s="21">
        <f t="shared" si="1"/>
        <v>1551027</v>
      </c>
      <c r="H21" s="21">
        <f t="shared" si="1"/>
        <v>1551027</v>
      </c>
      <c r="I21" s="21">
        <v>0</v>
      </c>
      <c r="J21" s="21">
        <v>0</v>
      </c>
      <c r="K21" s="22">
        <f>SUM(K17:K20)</f>
        <v>200248</v>
      </c>
      <c r="L21" s="22">
        <f>SUM(L17:L20)</f>
        <v>200248</v>
      </c>
      <c r="M21" s="22">
        <v>0</v>
      </c>
      <c r="N21" s="22">
        <v>0</v>
      </c>
      <c r="O21" s="21">
        <f>SUM(O17:O20)</f>
        <v>448759</v>
      </c>
      <c r="P21" s="21">
        <f>SUM(P17:P20)</f>
        <v>448759</v>
      </c>
      <c r="Q21" s="21">
        <v>0</v>
      </c>
      <c r="R21" s="21">
        <v>0</v>
      </c>
    </row>
    <row r="22" spans="1:18" ht="15.95" customHeight="1" x14ac:dyDescent="0.25">
      <c r="A22" s="170" t="s">
        <v>36</v>
      </c>
      <c r="B22" s="170"/>
      <c r="C22" s="22">
        <f>C21/4</f>
        <v>25977.25</v>
      </c>
      <c r="D22" s="22">
        <f>D21/4</f>
        <v>17775.5</v>
      </c>
      <c r="E22" s="22">
        <f>E21/2</f>
        <v>1644</v>
      </c>
      <c r="F22" s="22">
        <f>F21/4</f>
        <v>7379.75</v>
      </c>
      <c r="G22" s="22">
        <f>G21/4</f>
        <v>387756.75</v>
      </c>
      <c r="H22" s="22">
        <f>H21/4</f>
        <v>387756.75</v>
      </c>
      <c r="I22" s="22">
        <v>0</v>
      </c>
      <c r="J22" s="22">
        <v>0</v>
      </c>
      <c r="K22" s="22">
        <f>K21/4</f>
        <v>50062</v>
      </c>
      <c r="L22" s="22">
        <f>L21/4</f>
        <v>50062</v>
      </c>
      <c r="M22" s="22">
        <v>0</v>
      </c>
      <c r="N22" s="22">
        <v>0</v>
      </c>
      <c r="O22" s="22">
        <f>O21/4</f>
        <v>112189.75</v>
      </c>
      <c r="P22" s="22">
        <f>P21/4</f>
        <v>112189.75</v>
      </c>
      <c r="Q22" s="22">
        <v>0</v>
      </c>
      <c r="R22" s="22">
        <v>0</v>
      </c>
    </row>
    <row r="23" spans="1:18" ht="27" customHeight="1" x14ac:dyDescent="0.25">
      <c r="A23" s="171" t="s">
        <v>33</v>
      </c>
      <c r="B23" s="171"/>
      <c r="C23" s="26">
        <f t="shared" ref="C23:H23" si="2">SUM(C14,C21)</f>
        <v>280240</v>
      </c>
      <c r="D23" s="26">
        <f t="shared" si="2"/>
        <v>170997</v>
      </c>
      <c r="E23" s="26">
        <f t="shared" si="2"/>
        <v>30671</v>
      </c>
      <c r="F23" s="26">
        <f t="shared" si="2"/>
        <v>78572</v>
      </c>
      <c r="G23" s="33">
        <f t="shared" si="2"/>
        <v>1575491</v>
      </c>
      <c r="H23" s="33">
        <f t="shared" si="2"/>
        <v>1575491</v>
      </c>
      <c r="I23" s="33">
        <v>0</v>
      </c>
      <c r="J23" s="33">
        <v>0</v>
      </c>
      <c r="K23" s="26">
        <f>SUM(K14,K21)</f>
        <v>295401</v>
      </c>
      <c r="L23" s="26">
        <f>SUM(L14,L21)</f>
        <v>295401</v>
      </c>
      <c r="M23" s="26">
        <v>0</v>
      </c>
      <c r="N23" s="26">
        <v>0</v>
      </c>
      <c r="O23" s="33">
        <f>SUM(O14,O21)</f>
        <v>1152504</v>
      </c>
      <c r="P23" s="33">
        <f>SUM(P14,P21)</f>
        <v>1152504</v>
      </c>
      <c r="Q23" s="33">
        <v>0</v>
      </c>
      <c r="R23" s="33">
        <v>0</v>
      </c>
    </row>
    <row r="24" spans="1:18" ht="32.25" customHeight="1" x14ac:dyDescent="0.25">
      <c r="A24" s="171" t="s">
        <v>35</v>
      </c>
      <c r="B24" s="171"/>
      <c r="C24" s="26">
        <f>C23/11</f>
        <v>25476.363636363636</v>
      </c>
      <c r="D24" s="26">
        <f>D23/11</f>
        <v>15545.181818181818</v>
      </c>
      <c r="E24" s="26">
        <f>E23/7</f>
        <v>4381.5714285714284</v>
      </c>
      <c r="F24" s="26">
        <f>F23/8</f>
        <v>9821.5</v>
      </c>
      <c r="G24" s="26">
        <f>G23/11</f>
        <v>143226.45454545456</v>
      </c>
      <c r="H24" s="26">
        <f>H23/11</f>
        <v>143226.45454545456</v>
      </c>
      <c r="I24" s="34">
        <v>0</v>
      </c>
      <c r="J24" s="34">
        <v>0</v>
      </c>
      <c r="K24" s="26">
        <f>K23/11</f>
        <v>26854.636363636364</v>
      </c>
      <c r="L24" s="26">
        <f>L23/11</f>
        <v>26854.636363636364</v>
      </c>
      <c r="M24" s="26">
        <v>0</v>
      </c>
      <c r="N24" s="26">
        <v>0</v>
      </c>
      <c r="O24" s="26">
        <f>O23/11</f>
        <v>104773.09090909091</v>
      </c>
      <c r="P24" s="26">
        <f>P23/11</f>
        <v>104773.09090909091</v>
      </c>
      <c r="Q24" s="34">
        <v>0</v>
      </c>
      <c r="R24" s="34">
        <v>0</v>
      </c>
    </row>
  </sheetData>
  <mergeCells count="15">
    <mergeCell ref="A2:R2"/>
    <mergeCell ref="A14:B14"/>
    <mergeCell ref="A21:B21"/>
    <mergeCell ref="A23:B23"/>
    <mergeCell ref="A24:B24"/>
    <mergeCell ref="A16:R16"/>
    <mergeCell ref="A4:A5"/>
    <mergeCell ref="B4:B5"/>
    <mergeCell ref="C4:F4"/>
    <mergeCell ref="G4:J4"/>
    <mergeCell ref="K4:N4"/>
    <mergeCell ref="O4:R4"/>
    <mergeCell ref="A6:R6"/>
    <mergeCell ref="A15:B15"/>
    <mergeCell ref="A22:B22"/>
  </mergeCells>
  <pageMargins left="0.70000000000000007" right="0.70000000000000007" top="0.75" bottom="0.75" header="0.30000000000000004" footer="0.30000000000000004"/>
  <pageSetup paperSize="9" orientation="portrait" r:id="rId1"/>
  <ignoredErrors>
    <ignoredError sqref="E2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3.1. Vartotojų telkimas</vt:lpstr>
      <vt:lpstr>3.2. Vartotojų skaičius</vt:lpstr>
      <vt:lpstr>3.2.1. Vaikų skaičius</vt:lpstr>
      <vt:lpstr>3.3. Lankytojų skaičius</vt:lpstr>
      <vt:lpstr>3.3.1. Lankytojų vaikų skaičius</vt:lpstr>
      <vt:lpstr>3.4. Dokumentų išduotis</vt:lpstr>
      <vt:lpstr>3.5. Grož. ir šakin. išduotis</vt:lpstr>
      <vt:lpstr>3.6. Periodin. išduotis</vt:lpstr>
      <vt:lpstr>3.7. Išduotis vietoje ir į nam.</vt:lpstr>
      <vt:lpstr>3.8. Skaitomumas ir lankomumas</vt:lpstr>
      <vt:lpstr>3.9. Vaikų skaitomumas</vt:lpstr>
      <vt:lpstr>3.10. Darbo vietos</vt:lpstr>
      <vt:lpstr>3.11. Užklausos</vt:lpstr>
      <vt:lpstr>3.12. Renginiai</vt:lpstr>
      <vt:lpstr>3.13. El. paslaugos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2020-05-06T10:41:31Z</dcterms:created>
  <dcterms:modified xsi:type="dcterms:W3CDTF">2020-07-02T11:31:45Z</dcterms:modified>
</cp:coreProperties>
</file>